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<sst xmlns="http://schemas.openxmlformats.org/spreadsheetml/2006/main" count="1308" uniqueCount="1168">
  <si>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</si>
  <si>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</si>
  <si>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</si>
  <si>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</si>
  <si>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</si>
  <si>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</si>
  <si>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</si>
  <si>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</si>
  <si>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</si>
  <si>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</si>
  <si>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</si>
  <si>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</si>
  <si>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</si>
  <si>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</si>
  <si>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</si>
  <si>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</si>
  <si>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</si>
  <si>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</si>
  <si>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</si>
  <si>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</si>
  <si>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</si>
  <si>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</si>
  <si>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</si>
  <si>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</si>
  <si>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</si>
  <si>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3131
3210-1000919,73+188983,66+36315,66</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</si>
  <si>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</si>
  <si>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</si>
  <si>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</si>
  <si>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</si>
  <si>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</si>
  <si>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</si>
  <si>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</si>
  <si>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</si>
  <si>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</si>
  <si>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</si>
  <si>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</si>
  <si>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</si>
  <si>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</si>
  <si>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</si>
  <si>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</si>
  <si>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</si>
  <si>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</si>
  <si>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</si>
  <si>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</si>
  <si>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</si>
  <si>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</si>
  <si>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</si>
  <si>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</si>
  <si>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</si>
  <si>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</si>
  <si>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</si>
  <si>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</si>
  <si>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</si>
  <si>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</si>
  <si>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</si>
  <si>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</si>
  <si>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</si>
  <si>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</si>
  <si>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</si>
  <si>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</si>
  <si>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</si>
  <si>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</si>
  <si>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</si>
  <si>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</si>
  <si>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</si>
  <si>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</si>
  <si>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</si>
  <si>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</si>
  <si>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</si>
  <si>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</si>
  <si>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</si>
  <si>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</si>
  <si>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</si>
  <si>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</si>
  <si>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</si>
  <si>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</si>
  <si>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</si>
  <si>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Профінансовано станом на 08.08.2017</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</si>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</sst>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0" fontId="30" fillId="0" borderId="14"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4" xfId="0" applyNumberFormat="1" applyFont="1" applyFill="1" applyBorder="1" applyAlignment="1" applyProtection="1">
      <alignment horizontal="center" vertical="top"/>
      <protection/>
    </xf>
    <xf numFmtId="49" fontId="30" fillId="0" borderId="14"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4"/>
  <sheetViews>
    <sheetView tabSelected="1" view="pageBreakPreview" zoomScale="71" zoomScaleNormal="70" zoomScaleSheetLayoutView="71" zoomScalePageLayoutView="0" workbookViewId="0" topLeftCell="A2">
      <pane ySplit="1" topLeftCell="A1160" activePane="bottomLeft" state="frozen"/>
      <selection pane="topLeft" activeCell="A2" sqref="A2"/>
      <selection pane="bottomLeft" activeCell="A1183" sqref="A1183:IV1187"/>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8"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2"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18"/>
      <c r="J1" s="108"/>
      <c r="W1" s="211"/>
      <c r="X1" s="213"/>
      <c r="Y1" s="213"/>
    </row>
    <row r="2" spans="1:25" ht="44.25" customHeight="1">
      <c r="A2" s="317" t="s">
        <v>282</v>
      </c>
      <c r="B2" s="317"/>
      <c r="C2" s="317"/>
      <c r="D2" s="317"/>
      <c r="E2" s="317"/>
      <c r="F2" s="317"/>
      <c r="G2" s="317"/>
      <c r="H2" s="317"/>
      <c r="I2" s="317"/>
      <c r="J2" s="317"/>
      <c r="K2" s="317"/>
      <c r="L2" s="317"/>
      <c r="M2" s="317"/>
      <c r="N2" s="317"/>
      <c r="O2" s="317"/>
      <c r="P2" s="317"/>
      <c r="Q2" s="317"/>
      <c r="R2" s="317"/>
      <c r="S2" s="317"/>
      <c r="T2" s="317"/>
      <c r="U2" s="317"/>
      <c r="V2" s="317"/>
      <c r="W2" s="317"/>
      <c r="X2" s="317"/>
      <c r="Y2" s="317"/>
    </row>
    <row r="3" spans="1:24" ht="18.75">
      <c r="A3" s="216"/>
      <c r="B3" s="216"/>
      <c r="C3" s="215"/>
      <c r="D3" s="215"/>
      <c r="E3" s="110"/>
      <c r="F3" s="111"/>
      <c r="G3" s="112"/>
      <c r="H3" s="111"/>
      <c r="I3" s="219"/>
      <c r="J3" s="113"/>
      <c r="X3" s="217" t="s">
        <v>888</v>
      </c>
    </row>
    <row r="4" spans="1:25" ht="117" customHeight="1">
      <c r="A4" s="166" t="s">
        <v>405</v>
      </c>
      <c r="B4" s="166" t="s">
        <v>406</v>
      </c>
      <c r="C4" s="167" t="s">
        <v>889</v>
      </c>
      <c r="D4" s="167" t="s">
        <v>423</v>
      </c>
      <c r="E4" s="168" t="s">
        <v>424</v>
      </c>
      <c r="F4" s="168" t="s">
        <v>425</v>
      </c>
      <c r="G4" s="168" t="s">
        <v>426</v>
      </c>
      <c r="H4" s="168" t="s">
        <v>812</v>
      </c>
      <c r="I4" s="220" t="s">
        <v>1105</v>
      </c>
      <c r="J4" s="169" t="s">
        <v>813</v>
      </c>
      <c r="K4" s="177" t="s">
        <v>87</v>
      </c>
      <c r="L4" s="31" t="s">
        <v>88</v>
      </c>
      <c r="M4" s="31" t="s">
        <v>89</v>
      </c>
      <c r="N4" s="31" t="s">
        <v>90</v>
      </c>
      <c r="O4" s="31" t="s">
        <v>115</v>
      </c>
      <c r="P4" s="31" t="s">
        <v>116</v>
      </c>
      <c r="Q4" s="31" t="s">
        <v>117</v>
      </c>
      <c r="R4" s="31" t="s">
        <v>94</v>
      </c>
      <c r="S4" s="31" t="s">
        <v>95</v>
      </c>
      <c r="T4" s="31" t="s">
        <v>96</v>
      </c>
      <c r="U4" s="31" t="s">
        <v>97</v>
      </c>
      <c r="V4" s="31" t="s">
        <v>98</v>
      </c>
      <c r="W4" s="31" t="s">
        <v>99</v>
      </c>
      <c r="X4" s="79" t="s">
        <v>78</v>
      </c>
      <c r="Y4" s="79" t="s">
        <v>124</v>
      </c>
    </row>
    <row r="5" spans="1:25" s="5" customFormat="1" ht="42" customHeight="1">
      <c r="A5" s="18" t="s">
        <v>1145</v>
      </c>
      <c r="B5" s="18"/>
      <c r="C5" s="19"/>
      <c r="D5" s="20" t="s">
        <v>513</v>
      </c>
      <c r="E5" s="21"/>
      <c r="F5" s="103"/>
      <c r="G5" s="103"/>
      <c r="H5" s="103"/>
      <c r="I5" s="221"/>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3395590.45</v>
      </c>
      <c r="Y5" s="29">
        <f>K5+L5+M5+N5+O5+P5+Q5+R5-X5</f>
        <v>7428113.55</v>
      </c>
    </row>
    <row r="6" spans="1:25" s="5" customFormat="1" ht="46.5" customHeight="1">
      <c r="A6" s="99" t="s">
        <v>1146</v>
      </c>
      <c r="B6" s="99"/>
      <c r="C6" s="100"/>
      <c r="D6" s="20" t="s">
        <v>513</v>
      </c>
      <c r="E6" s="21"/>
      <c r="F6" s="103"/>
      <c r="G6" s="103"/>
      <c r="H6" s="103"/>
      <c r="I6" s="221"/>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3395590.45</v>
      </c>
      <c r="Y6" s="29">
        <f aca="true" t="shared" si="2" ref="Y6:Y69">K6+L6+M6+N6+O6+P6+Q6+R6-X6</f>
        <v>7428113.55</v>
      </c>
    </row>
    <row r="7" spans="1:25" s="5" customFormat="1" ht="18.75">
      <c r="A7" s="280" t="s">
        <v>1059</v>
      </c>
      <c r="B7" s="280" t="s">
        <v>815</v>
      </c>
      <c r="C7" s="280" t="s">
        <v>814</v>
      </c>
      <c r="D7" s="278" t="s">
        <v>1012</v>
      </c>
      <c r="E7" s="23"/>
      <c r="F7" s="104"/>
      <c r="G7" s="104"/>
      <c r="H7" s="104"/>
      <c r="I7" s="222"/>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1341042.6400000001</v>
      </c>
      <c r="Y7" s="29">
        <f t="shared" si="2"/>
        <v>5577316.359999999</v>
      </c>
    </row>
    <row r="8" spans="1:25" s="5" customFormat="1" ht="37.5" customHeight="1">
      <c r="A8" s="281"/>
      <c r="B8" s="281"/>
      <c r="C8" s="281"/>
      <c r="D8" s="279"/>
      <c r="E8" s="24" t="s">
        <v>1158</v>
      </c>
      <c r="F8" s="105"/>
      <c r="G8" s="105"/>
      <c r="H8" s="105"/>
      <c r="I8" s="223">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336242</v>
      </c>
    </row>
    <row r="9" spans="1:25" s="5" customFormat="1" ht="81.75" customHeight="1">
      <c r="A9" s="281"/>
      <c r="B9" s="281"/>
      <c r="C9" s="281"/>
      <c r="D9" s="279"/>
      <c r="E9" s="24" t="s">
        <v>1159</v>
      </c>
      <c r="F9" s="105"/>
      <c r="G9" s="105"/>
      <c r="H9" s="105"/>
      <c r="I9" s="223">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81"/>
      <c r="B10" s="281"/>
      <c r="C10" s="281"/>
      <c r="D10" s="279"/>
      <c r="E10" s="24" t="s">
        <v>1160</v>
      </c>
      <c r="F10" s="105"/>
      <c r="G10" s="105"/>
      <c r="H10" s="105"/>
      <c r="I10" s="223">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81"/>
      <c r="B11" s="281"/>
      <c r="C11" s="281"/>
      <c r="D11" s="279"/>
      <c r="E11" s="24" t="s">
        <v>36</v>
      </c>
      <c r="F11" s="105"/>
      <c r="G11" s="105"/>
      <c r="H11" s="105"/>
      <c r="I11" s="223">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1"/>
      <c r="B12" s="281"/>
      <c r="C12" s="281"/>
      <c r="D12" s="279"/>
      <c r="E12" s="24" t="s">
        <v>37</v>
      </c>
      <c r="F12" s="105"/>
      <c r="G12" s="105"/>
      <c r="H12" s="105"/>
      <c r="I12" s="223">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81"/>
      <c r="B13" s="281"/>
      <c r="C13" s="281"/>
      <c r="D13" s="279"/>
      <c r="E13" s="24" t="s">
        <v>1164</v>
      </c>
      <c r="F13" s="105"/>
      <c r="G13" s="105"/>
      <c r="H13" s="105"/>
      <c r="I13" s="223">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81"/>
      <c r="B14" s="281"/>
      <c r="C14" s="281"/>
      <c r="D14" s="279"/>
      <c r="E14" s="24" t="s">
        <v>726</v>
      </c>
      <c r="F14" s="105"/>
      <c r="G14" s="105"/>
      <c r="H14" s="105"/>
      <c r="I14" s="223">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81"/>
      <c r="B15" s="281"/>
      <c r="C15" s="281"/>
      <c r="D15" s="279"/>
      <c r="E15" s="24" t="s">
        <v>727</v>
      </c>
      <c r="F15" s="105"/>
      <c r="G15" s="105"/>
      <c r="H15" s="105"/>
      <c r="I15" s="223">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81"/>
      <c r="B16" s="281"/>
      <c r="C16" s="281"/>
      <c r="D16" s="279"/>
      <c r="E16" s="24" t="s">
        <v>292</v>
      </c>
      <c r="F16" s="105"/>
      <c r="G16" s="105"/>
      <c r="H16" s="105"/>
      <c r="I16" s="223">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81"/>
      <c r="B17" s="281"/>
      <c r="C17" s="281"/>
      <c r="D17" s="279"/>
      <c r="E17" s="24" t="s">
        <v>698</v>
      </c>
      <c r="F17" s="105">
        <f>J17</f>
        <v>2074300</v>
      </c>
      <c r="G17" s="114">
        <v>1</v>
      </c>
      <c r="H17" s="105">
        <f>J17</f>
        <v>2074300</v>
      </c>
      <c r="I17" s="223">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81"/>
      <c r="B18" s="281"/>
      <c r="C18" s="281"/>
      <c r="D18" s="279"/>
      <c r="E18" s="24" t="s">
        <v>665</v>
      </c>
      <c r="F18" s="105">
        <f aca="true" t="shared" si="5" ref="F18:F24">J18</f>
        <v>300000</v>
      </c>
      <c r="G18" s="114">
        <v>1</v>
      </c>
      <c r="H18" s="105">
        <f aca="true" t="shared" si="6" ref="H18:H36">J18</f>
        <v>300000</v>
      </c>
      <c r="I18" s="223">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81"/>
      <c r="B19" s="281"/>
      <c r="C19" s="281"/>
      <c r="D19" s="279"/>
      <c r="E19" s="24" t="s">
        <v>666</v>
      </c>
      <c r="F19" s="105">
        <f t="shared" si="5"/>
        <v>400000</v>
      </c>
      <c r="G19" s="114">
        <v>1</v>
      </c>
      <c r="H19" s="105">
        <f t="shared" si="6"/>
        <v>400000</v>
      </c>
      <c r="I19" s="223">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81"/>
      <c r="B20" s="281"/>
      <c r="C20" s="281"/>
      <c r="D20" s="279"/>
      <c r="E20" s="24" t="s">
        <v>679</v>
      </c>
      <c r="F20" s="105">
        <f t="shared" si="5"/>
        <v>398000</v>
      </c>
      <c r="G20" s="114">
        <v>1</v>
      </c>
      <c r="H20" s="105">
        <f t="shared" si="6"/>
        <v>398000</v>
      </c>
      <c r="I20" s="223">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81"/>
      <c r="B21" s="281"/>
      <c r="C21" s="281"/>
      <c r="D21" s="279"/>
      <c r="E21" s="24" t="s">
        <v>680</v>
      </c>
      <c r="F21" s="105">
        <f t="shared" si="5"/>
        <v>1030000</v>
      </c>
      <c r="G21" s="114">
        <v>1</v>
      </c>
      <c r="H21" s="105">
        <f t="shared" si="6"/>
        <v>1030000</v>
      </c>
      <c r="I21" s="223">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973473</v>
      </c>
    </row>
    <row r="22" spans="1:25" s="5" customFormat="1" ht="93.75">
      <c r="A22" s="281"/>
      <c r="B22" s="281"/>
      <c r="C22" s="281"/>
      <c r="D22" s="279"/>
      <c r="E22" s="24" t="s">
        <v>1101</v>
      </c>
      <c r="F22" s="105">
        <f t="shared" si="5"/>
        <v>427400</v>
      </c>
      <c r="G22" s="114">
        <v>1</v>
      </c>
      <c r="H22" s="105">
        <f t="shared" si="6"/>
        <v>427400</v>
      </c>
      <c r="I22" s="223">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81"/>
      <c r="B23" s="281"/>
      <c r="C23" s="281"/>
      <c r="D23" s="279"/>
      <c r="E23" s="24" t="s">
        <v>1102</v>
      </c>
      <c r="F23" s="105">
        <f t="shared" si="5"/>
        <v>250000</v>
      </c>
      <c r="G23" s="114">
        <v>1</v>
      </c>
      <c r="H23" s="105">
        <f t="shared" si="6"/>
        <v>250000</v>
      </c>
      <c r="I23" s="223">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81"/>
      <c r="B24" s="282"/>
      <c r="C24" s="281"/>
      <c r="D24" s="292"/>
      <c r="E24" s="24" t="s">
        <v>1103</v>
      </c>
      <c r="F24" s="105">
        <f t="shared" si="5"/>
        <v>890000</v>
      </c>
      <c r="G24" s="114">
        <v>1</v>
      </c>
      <c r="H24" s="105">
        <f t="shared" si="6"/>
        <v>890000</v>
      </c>
      <c r="I24" s="223">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81" t="s">
        <v>203</v>
      </c>
      <c r="B25" s="275"/>
      <c r="C25" s="275"/>
      <c r="D25" s="278" t="s">
        <v>133</v>
      </c>
      <c r="E25" s="24"/>
      <c r="F25" s="105"/>
      <c r="G25" s="114"/>
      <c r="H25" s="105"/>
      <c r="I25" s="223"/>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32000</v>
      </c>
      <c r="Y25" s="29">
        <f t="shared" si="2"/>
        <v>72000</v>
      </c>
    </row>
    <row r="26" spans="1:25" s="5" customFormat="1" ht="102.75" customHeight="1">
      <c r="A26" s="282"/>
      <c r="B26" s="274">
        <v>4200</v>
      </c>
      <c r="C26" s="274" t="s">
        <v>204</v>
      </c>
      <c r="D26" s="292"/>
      <c r="E26" s="277" t="s">
        <v>205</v>
      </c>
      <c r="F26" s="105"/>
      <c r="G26" s="114"/>
      <c r="H26" s="105"/>
      <c r="I26" s="223">
        <v>3160</v>
      </c>
      <c r="J26" s="25">
        <v>104000</v>
      </c>
      <c r="K26" s="183"/>
      <c r="L26" s="183"/>
      <c r="M26" s="183"/>
      <c r="N26" s="183"/>
      <c r="O26" s="183"/>
      <c r="P26" s="183"/>
      <c r="Q26" s="183">
        <v>59000</v>
      </c>
      <c r="R26" s="183">
        <v>45000</v>
      </c>
      <c r="S26" s="183"/>
      <c r="T26" s="183"/>
      <c r="U26" s="183"/>
      <c r="V26" s="183"/>
      <c r="W26" s="29"/>
      <c r="X26" s="29">
        <v>32000</v>
      </c>
      <c r="Y26" s="29">
        <f t="shared" si="2"/>
        <v>72000</v>
      </c>
    </row>
    <row r="27" spans="1:25" s="5" customFormat="1" ht="18.75">
      <c r="A27" s="280" t="s">
        <v>380</v>
      </c>
      <c r="B27" s="280" t="s">
        <v>760</v>
      </c>
      <c r="C27" s="280" t="s">
        <v>1104</v>
      </c>
      <c r="D27" s="278" t="s">
        <v>1156</v>
      </c>
      <c r="E27" s="26"/>
      <c r="F27" s="106"/>
      <c r="G27" s="106"/>
      <c r="H27" s="106"/>
      <c r="I27" s="224"/>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1514853.3</v>
      </c>
    </row>
    <row r="28" spans="1:25" s="5" customFormat="1" ht="67.5" customHeight="1">
      <c r="A28" s="281"/>
      <c r="B28" s="281"/>
      <c r="C28" s="281"/>
      <c r="D28" s="279"/>
      <c r="E28" s="26" t="s">
        <v>293</v>
      </c>
      <c r="F28" s="105">
        <f>J28</f>
        <v>1056300</v>
      </c>
      <c r="G28" s="114">
        <v>1</v>
      </c>
      <c r="H28" s="105">
        <f t="shared" si="6"/>
        <v>1056300</v>
      </c>
      <c r="I28" s="223">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569000</v>
      </c>
    </row>
    <row r="29" spans="1:25" s="5" customFormat="1" ht="96.75" customHeight="1">
      <c r="A29" s="281"/>
      <c r="B29" s="281"/>
      <c r="C29" s="281"/>
      <c r="D29" s="279"/>
      <c r="E29" s="27" t="s">
        <v>69</v>
      </c>
      <c r="F29" s="105">
        <f>J29</f>
        <v>8584000</v>
      </c>
      <c r="G29" s="114">
        <v>1</v>
      </c>
      <c r="H29" s="105">
        <f t="shared" si="6"/>
        <v>8584000</v>
      </c>
      <c r="I29" s="223">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794553.3</v>
      </c>
    </row>
    <row r="30" spans="1:25" s="5" customFormat="1" ht="56.25">
      <c r="A30" s="281"/>
      <c r="B30" s="281"/>
      <c r="C30" s="281"/>
      <c r="D30" s="279"/>
      <c r="E30" s="27" t="s">
        <v>294</v>
      </c>
      <c r="F30" s="170">
        <f>J30</f>
        <v>233300</v>
      </c>
      <c r="G30" s="114">
        <v>1</v>
      </c>
      <c r="H30" s="170">
        <f t="shared" si="6"/>
        <v>233300</v>
      </c>
      <c r="I30" s="225">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151300</v>
      </c>
    </row>
    <row r="31" spans="1:25" s="5" customFormat="1" ht="18.75">
      <c r="A31" s="280" t="s">
        <v>382</v>
      </c>
      <c r="B31" s="280" t="s">
        <v>383</v>
      </c>
      <c r="C31" s="280" t="s">
        <v>815</v>
      </c>
      <c r="D31" s="278" t="s">
        <v>384</v>
      </c>
      <c r="E31" s="28"/>
      <c r="F31" s="3"/>
      <c r="G31" s="3"/>
      <c r="H31" s="3"/>
      <c r="I31" s="226"/>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19004</v>
      </c>
    </row>
    <row r="32" spans="1:25" s="5" customFormat="1" ht="93.75">
      <c r="A32" s="281"/>
      <c r="B32" s="281"/>
      <c r="C32" s="281"/>
      <c r="D32" s="279"/>
      <c r="E32" s="28" t="s">
        <v>530</v>
      </c>
      <c r="F32" s="3"/>
      <c r="G32" s="3"/>
      <c r="H32" s="3"/>
      <c r="I32" s="226">
        <v>3220</v>
      </c>
      <c r="J32" s="29">
        <v>19004</v>
      </c>
      <c r="K32" s="29"/>
      <c r="L32" s="29"/>
      <c r="M32" s="29"/>
      <c r="N32" s="29"/>
      <c r="O32" s="29"/>
      <c r="P32" s="29"/>
      <c r="Q32" s="29"/>
      <c r="R32" s="29">
        <v>19004</v>
      </c>
      <c r="S32" s="29"/>
      <c r="T32" s="29"/>
      <c r="U32" s="29"/>
      <c r="V32" s="29"/>
      <c r="W32" s="29">
        <f t="shared" si="4"/>
        <v>0</v>
      </c>
      <c r="X32" s="29"/>
      <c r="Y32" s="29">
        <f t="shared" si="2"/>
        <v>19004</v>
      </c>
    </row>
    <row r="33" spans="1:25" s="5" customFormat="1" ht="82.5" customHeight="1">
      <c r="A33" s="282"/>
      <c r="B33" s="282"/>
      <c r="C33" s="282"/>
      <c r="D33" s="292"/>
      <c r="E33" s="28" t="s">
        <v>1086</v>
      </c>
      <c r="F33" s="105">
        <v>500000</v>
      </c>
      <c r="G33" s="114">
        <v>1</v>
      </c>
      <c r="H33" s="105">
        <v>500000</v>
      </c>
      <c r="I33" s="223">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83" t="s">
        <v>1147</v>
      </c>
      <c r="B34" s="280" t="s">
        <v>1120</v>
      </c>
      <c r="C34" s="283" t="s">
        <v>816</v>
      </c>
      <c r="D34" s="286" t="s">
        <v>890</v>
      </c>
      <c r="E34" s="28"/>
      <c r="F34" s="3"/>
      <c r="G34" s="3"/>
      <c r="H34" s="3"/>
      <c r="I34" s="226"/>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244939.89</v>
      </c>
    </row>
    <row r="35" spans="1:25" s="172" customFormat="1" ht="83.25" customHeight="1">
      <c r="A35" s="284"/>
      <c r="B35" s="281"/>
      <c r="C35" s="284"/>
      <c r="D35" s="287"/>
      <c r="E35" s="30" t="s">
        <v>327</v>
      </c>
      <c r="F35" s="84"/>
      <c r="G35" s="84"/>
      <c r="H35" s="84"/>
      <c r="I35" s="227"/>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244939.89</v>
      </c>
    </row>
    <row r="36" spans="1:25" s="5" customFormat="1" ht="56.25">
      <c r="A36" s="284"/>
      <c r="B36" s="281"/>
      <c r="C36" s="284"/>
      <c r="D36" s="287"/>
      <c r="E36" s="28" t="s">
        <v>663</v>
      </c>
      <c r="F36" s="105">
        <f>J36</f>
        <v>2400000</v>
      </c>
      <c r="G36" s="114">
        <v>1</v>
      </c>
      <c r="H36" s="105">
        <f t="shared" si="6"/>
        <v>2400000</v>
      </c>
      <c r="I36" s="223">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40739.890000000014</v>
      </c>
    </row>
    <row r="37" spans="1:25" s="5" customFormat="1" ht="57.75" customHeight="1">
      <c r="A37" s="285"/>
      <c r="B37" s="282"/>
      <c r="C37" s="285"/>
      <c r="D37" s="288"/>
      <c r="E37" s="28" t="s">
        <v>515</v>
      </c>
      <c r="F37" s="3"/>
      <c r="G37" s="3"/>
      <c r="H37" s="3"/>
      <c r="I37" s="226">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927</v>
      </c>
      <c r="B38" s="32"/>
      <c r="C38" s="32"/>
      <c r="D38" s="33" t="s">
        <v>381</v>
      </c>
      <c r="E38" s="34"/>
      <c r="F38" s="107"/>
      <c r="G38" s="107"/>
      <c r="H38" s="107"/>
      <c r="I38" s="228"/>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928</v>
      </c>
      <c r="B39" s="102"/>
      <c r="C39" s="102"/>
      <c r="D39" s="33" t="s">
        <v>381</v>
      </c>
      <c r="E39" s="34"/>
      <c r="F39" s="107"/>
      <c r="G39" s="107"/>
      <c r="H39" s="107"/>
      <c r="I39" s="228"/>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80" t="s">
        <v>929</v>
      </c>
      <c r="B40" s="280" t="s">
        <v>815</v>
      </c>
      <c r="C40" s="280" t="s">
        <v>814</v>
      </c>
      <c r="D40" s="278" t="s">
        <v>1012</v>
      </c>
      <c r="E40" s="30"/>
      <c r="F40" s="84"/>
      <c r="G40" s="84"/>
      <c r="H40" s="84"/>
      <c r="I40" s="227"/>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81"/>
      <c r="B41" s="281"/>
      <c r="C41" s="281"/>
      <c r="D41" s="279"/>
      <c r="E41" s="28" t="s">
        <v>516</v>
      </c>
      <c r="F41" s="3"/>
      <c r="G41" s="3"/>
      <c r="H41" s="3"/>
      <c r="I41" s="226">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81"/>
      <c r="B42" s="281"/>
      <c r="C42" s="281"/>
      <c r="D42" s="279"/>
      <c r="E42" s="36" t="s">
        <v>517</v>
      </c>
      <c r="F42" s="106"/>
      <c r="G42" s="106"/>
      <c r="H42" s="106"/>
      <c r="I42" s="224">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82"/>
      <c r="B43" s="282"/>
      <c r="C43" s="282"/>
      <c r="D43" s="292"/>
      <c r="E43" s="36" t="s">
        <v>676</v>
      </c>
      <c r="F43" s="106"/>
      <c r="G43" s="106"/>
      <c r="H43" s="106"/>
      <c r="I43" s="224">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818</v>
      </c>
      <c r="E44" s="38"/>
      <c r="F44" s="116"/>
      <c r="G44" s="117"/>
      <c r="H44" s="118"/>
      <c r="I44" s="229"/>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58596000.17000001</v>
      </c>
      <c r="Y44" s="29">
        <f t="shared" si="2"/>
        <v>27563508.699999996</v>
      </c>
    </row>
    <row r="45" spans="1:25" ht="56.25">
      <c r="A45" s="115">
        <v>1010000</v>
      </c>
      <c r="B45" s="37"/>
      <c r="C45" s="37"/>
      <c r="D45" s="20" t="s">
        <v>818</v>
      </c>
      <c r="E45" s="38"/>
      <c r="F45" s="116"/>
      <c r="G45" s="117"/>
      <c r="H45" s="118"/>
      <c r="I45" s="229"/>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58596000.17000001</v>
      </c>
      <c r="Y45" s="29">
        <f t="shared" si="2"/>
        <v>27563508.699999996</v>
      </c>
    </row>
    <row r="46" spans="1:25" ht="18.75">
      <c r="A46" s="289" t="s">
        <v>1060</v>
      </c>
      <c r="B46" s="289" t="s">
        <v>1064</v>
      </c>
      <c r="C46" s="289" t="s">
        <v>819</v>
      </c>
      <c r="D46" s="278" t="s">
        <v>1148</v>
      </c>
      <c r="E46" s="36"/>
      <c r="F46" s="36"/>
      <c r="G46" s="36"/>
      <c r="H46" s="36"/>
      <c r="I46" s="224"/>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5716096.7</v>
      </c>
      <c r="Y46" s="29">
        <f t="shared" si="2"/>
        <v>1992380.5099999988</v>
      </c>
    </row>
    <row r="47" spans="1:25" ht="37.5">
      <c r="A47" s="290"/>
      <c r="B47" s="290"/>
      <c r="C47" s="290"/>
      <c r="D47" s="279"/>
      <c r="E47" s="36" t="s">
        <v>677</v>
      </c>
      <c r="F47" s="36"/>
      <c r="G47" s="36"/>
      <c r="H47" s="36"/>
      <c r="I47" s="224">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290"/>
      <c r="B48" s="290"/>
      <c r="C48" s="290"/>
      <c r="D48" s="279"/>
      <c r="E48" s="36" t="s">
        <v>266</v>
      </c>
      <c r="F48" s="36"/>
      <c r="G48" s="36"/>
      <c r="H48" s="36"/>
      <c r="I48" s="224">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290"/>
      <c r="B49" s="290"/>
      <c r="C49" s="290"/>
      <c r="D49" s="279"/>
      <c r="E49" s="36" t="s">
        <v>267</v>
      </c>
      <c r="F49" s="36"/>
      <c r="G49" s="36"/>
      <c r="H49" s="36"/>
      <c r="I49" s="224">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90"/>
      <c r="B50" s="290"/>
      <c r="C50" s="290"/>
      <c r="D50" s="279"/>
      <c r="E50" s="36" t="s">
        <v>268</v>
      </c>
      <c r="F50" s="36"/>
      <c r="G50" s="36"/>
      <c r="H50" s="36"/>
      <c r="I50" s="224">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90"/>
      <c r="B51" s="290"/>
      <c r="C51" s="290"/>
      <c r="D51" s="279"/>
      <c r="E51" s="36" t="s">
        <v>270</v>
      </c>
      <c r="F51" s="36"/>
      <c r="G51" s="36"/>
      <c r="H51" s="36"/>
      <c r="I51" s="224">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290"/>
      <c r="B52" s="290"/>
      <c r="C52" s="290"/>
      <c r="D52" s="279"/>
      <c r="E52" s="36" t="s">
        <v>271</v>
      </c>
      <c r="F52" s="36"/>
      <c r="G52" s="36"/>
      <c r="H52" s="36"/>
      <c r="I52" s="224">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90"/>
      <c r="B53" s="290"/>
      <c r="C53" s="290"/>
      <c r="D53" s="279"/>
      <c r="E53" s="36" t="s">
        <v>272</v>
      </c>
      <c r="F53" s="36"/>
      <c r="G53" s="36"/>
      <c r="H53" s="36"/>
      <c r="I53" s="224">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290"/>
      <c r="B54" s="290"/>
      <c r="C54" s="290"/>
      <c r="D54" s="279"/>
      <c r="E54" s="36" t="s">
        <v>42</v>
      </c>
      <c r="F54" s="36"/>
      <c r="G54" s="36"/>
      <c r="H54" s="36"/>
      <c r="I54" s="224">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290"/>
      <c r="B55" s="290"/>
      <c r="C55" s="290"/>
      <c r="D55" s="279"/>
      <c r="E55" s="36" t="s">
        <v>273</v>
      </c>
      <c r="F55" s="36"/>
      <c r="G55" s="36"/>
      <c r="H55" s="36"/>
      <c r="I55" s="224">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290"/>
      <c r="B56" s="290"/>
      <c r="C56" s="290"/>
      <c r="D56" s="279"/>
      <c r="E56" s="36" t="s">
        <v>1008</v>
      </c>
      <c r="F56" s="36"/>
      <c r="G56" s="36"/>
      <c r="H56" s="36"/>
      <c r="I56" s="224">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290"/>
      <c r="B57" s="290"/>
      <c r="C57" s="290"/>
      <c r="D57" s="279"/>
      <c r="E57" s="36" t="s">
        <v>967</v>
      </c>
      <c r="F57" s="36"/>
      <c r="G57" s="36"/>
      <c r="H57" s="36"/>
      <c r="I57" s="224">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290"/>
      <c r="B58" s="290"/>
      <c r="C58" s="290"/>
      <c r="D58" s="279"/>
      <c r="E58" s="36" t="s">
        <v>968</v>
      </c>
      <c r="F58" s="36"/>
      <c r="G58" s="36"/>
      <c r="H58" s="36"/>
      <c r="I58" s="224">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290"/>
      <c r="B59" s="290"/>
      <c r="C59" s="290"/>
      <c r="D59" s="279"/>
      <c r="E59" s="36" t="s">
        <v>43</v>
      </c>
      <c r="F59" s="36"/>
      <c r="G59" s="36"/>
      <c r="H59" s="36"/>
      <c r="I59" s="224">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290"/>
      <c r="B60" s="290"/>
      <c r="C60" s="290"/>
      <c r="D60" s="279"/>
      <c r="E60" s="36" t="s">
        <v>487</v>
      </c>
      <c r="F60" s="36"/>
      <c r="G60" s="36"/>
      <c r="H60" s="36"/>
      <c r="I60" s="224">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290"/>
      <c r="B61" s="290"/>
      <c r="C61" s="290"/>
      <c r="D61" s="279"/>
      <c r="E61" s="36" t="s">
        <v>924</v>
      </c>
      <c r="F61" s="36"/>
      <c r="G61" s="36"/>
      <c r="H61" s="36"/>
      <c r="I61" s="224">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290"/>
      <c r="B62" s="290"/>
      <c r="C62" s="290"/>
      <c r="D62" s="279"/>
      <c r="E62" s="36" t="s">
        <v>925</v>
      </c>
      <c r="F62" s="36"/>
      <c r="G62" s="36"/>
      <c r="H62" s="36"/>
      <c r="I62" s="224">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290"/>
      <c r="B63" s="290"/>
      <c r="C63" s="290"/>
      <c r="D63" s="279"/>
      <c r="E63" s="36" t="s">
        <v>671</v>
      </c>
      <c r="F63" s="36"/>
      <c r="G63" s="36"/>
      <c r="H63" s="36"/>
      <c r="I63" s="224">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90"/>
      <c r="B64" s="290"/>
      <c r="C64" s="290"/>
      <c r="D64" s="279"/>
      <c r="E64" s="36" t="s">
        <v>595</v>
      </c>
      <c r="F64" s="105">
        <f>J64</f>
        <v>700000</v>
      </c>
      <c r="G64" s="114">
        <v>1</v>
      </c>
      <c r="H64" s="105">
        <f aca="true" t="shared" si="18" ref="H64:H121">J64</f>
        <v>700000</v>
      </c>
      <c r="I64" s="223">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963.5</v>
      </c>
    </row>
    <row r="65" spans="1:25" ht="37.5">
      <c r="A65" s="290"/>
      <c r="B65" s="290"/>
      <c r="C65" s="290"/>
      <c r="D65" s="279"/>
      <c r="E65" s="36" t="s">
        <v>596</v>
      </c>
      <c r="F65" s="105">
        <f aca="true" t="shared" si="19" ref="F65:F121">J65</f>
        <v>300000</v>
      </c>
      <c r="G65" s="114">
        <v>1</v>
      </c>
      <c r="H65" s="105">
        <f t="shared" si="18"/>
        <v>300000</v>
      </c>
      <c r="I65" s="223">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90"/>
      <c r="B66" s="290"/>
      <c r="C66" s="290"/>
      <c r="D66" s="279"/>
      <c r="E66" s="36" t="s">
        <v>514</v>
      </c>
      <c r="F66" s="105">
        <f t="shared" si="19"/>
        <v>0</v>
      </c>
      <c r="G66" s="114">
        <v>1</v>
      </c>
      <c r="H66" s="105">
        <f t="shared" si="18"/>
        <v>0</v>
      </c>
      <c r="I66" s="223">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90"/>
      <c r="B67" s="290"/>
      <c r="C67" s="290"/>
      <c r="D67" s="279"/>
      <c r="E67" s="36" t="s">
        <v>77</v>
      </c>
      <c r="F67" s="105">
        <f t="shared" si="19"/>
        <v>700000</v>
      </c>
      <c r="G67" s="114">
        <v>1</v>
      </c>
      <c r="H67" s="105">
        <f t="shared" si="18"/>
        <v>700000</v>
      </c>
      <c r="I67" s="223">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90"/>
      <c r="B68" s="290"/>
      <c r="C68" s="290"/>
      <c r="D68" s="279"/>
      <c r="E68" s="36" t="s">
        <v>480</v>
      </c>
      <c r="F68" s="105">
        <f t="shared" si="19"/>
        <v>300000</v>
      </c>
      <c r="G68" s="114">
        <v>1</v>
      </c>
      <c r="H68" s="105">
        <f t="shared" si="18"/>
        <v>300000</v>
      </c>
      <c r="I68" s="223">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90"/>
      <c r="B69" s="290"/>
      <c r="C69" s="290"/>
      <c r="D69" s="279"/>
      <c r="E69" s="36" t="s">
        <v>481</v>
      </c>
      <c r="F69" s="105">
        <f t="shared" si="19"/>
        <v>0</v>
      </c>
      <c r="G69" s="114">
        <v>1</v>
      </c>
      <c r="H69" s="105">
        <f t="shared" si="18"/>
        <v>0</v>
      </c>
      <c r="I69" s="223">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90"/>
      <c r="B70" s="290"/>
      <c r="C70" s="290"/>
      <c r="D70" s="279"/>
      <c r="E70" s="36" t="s">
        <v>482</v>
      </c>
      <c r="F70" s="105">
        <f t="shared" si="19"/>
        <v>15000</v>
      </c>
      <c r="G70" s="114">
        <v>1</v>
      </c>
      <c r="H70" s="105">
        <f t="shared" si="18"/>
        <v>15000</v>
      </c>
      <c r="I70" s="223">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K70+L70+M70+N70+O70+P70+Q70+R70-X70</f>
        <v>359.09000000000015</v>
      </c>
    </row>
    <row r="71" spans="1:25" ht="37.5">
      <c r="A71" s="290"/>
      <c r="B71" s="290"/>
      <c r="C71" s="290"/>
      <c r="D71" s="279"/>
      <c r="E71" s="36" t="s">
        <v>926</v>
      </c>
      <c r="F71" s="105">
        <f t="shared" si="19"/>
        <v>285000</v>
      </c>
      <c r="G71" s="114">
        <v>1</v>
      </c>
      <c r="H71" s="105">
        <f t="shared" si="18"/>
        <v>285000</v>
      </c>
      <c r="I71" s="223">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0"/>
        <v>0</v>
      </c>
    </row>
    <row r="72" spans="1:25" ht="56.25">
      <c r="A72" s="290"/>
      <c r="B72" s="290"/>
      <c r="C72" s="290"/>
      <c r="D72" s="279"/>
      <c r="E72" s="36" t="s">
        <v>295</v>
      </c>
      <c r="F72" s="105">
        <f t="shared" si="19"/>
        <v>100000</v>
      </c>
      <c r="G72" s="114">
        <v>1</v>
      </c>
      <c r="H72" s="105">
        <f t="shared" si="18"/>
        <v>100000</v>
      </c>
      <c r="I72" s="223">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0"/>
        <v>8933.199999999997</v>
      </c>
    </row>
    <row r="73" spans="1:25" ht="37.5">
      <c r="A73" s="290"/>
      <c r="B73" s="290"/>
      <c r="C73" s="290"/>
      <c r="D73" s="279"/>
      <c r="E73" s="36" t="s">
        <v>296</v>
      </c>
      <c r="F73" s="105">
        <f t="shared" si="19"/>
        <v>179400</v>
      </c>
      <c r="G73" s="114">
        <v>1</v>
      </c>
      <c r="H73" s="105">
        <f t="shared" si="18"/>
        <v>179400</v>
      </c>
      <c r="I73" s="223">
        <v>3132</v>
      </c>
      <c r="J73" s="40">
        <v>179400</v>
      </c>
      <c r="K73" s="29"/>
      <c r="L73" s="29"/>
      <c r="M73" s="29">
        <f>25000-25000</f>
        <v>0</v>
      </c>
      <c r="N73" s="29"/>
      <c r="O73" s="29">
        <f>25000-25000</f>
        <v>0</v>
      </c>
      <c r="P73" s="29"/>
      <c r="Q73" s="29"/>
      <c r="R73" s="29">
        <v>100000</v>
      </c>
      <c r="S73" s="29"/>
      <c r="T73" s="29"/>
      <c r="U73" s="29">
        <f>54400+25000</f>
        <v>79400</v>
      </c>
      <c r="V73" s="29"/>
      <c r="W73" s="29">
        <f t="shared" si="4"/>
        <v>0</v>
      </c>
      <c r="X73" s="29">
        <v>87673</v>
      </c>
      <c r="Y73" s="29">
        <f t="shared" si="20"/>
        <v>12327</v>
      </c>
    </row>
    <row r="74" spans="1:25" ht="36" hidden="1">
      <c r="A74" s="290"/>
      <c r="B74" s="290"/>
      <c r="C74" s="290"/>
      <c r="D74" s="279"/>
      <c r="E74" s="36" t="s">
        <v>297</v>
      </c>
      <c r="F74" s="105">
        <f t="shared" si="19"/>
        <v>0</v>
      </c>
      <c r="G74" s="114">
        <v>1</v>
      </c>
      <c r="H74" s="105">
        <f t="shared" si="18"/>
        <v>0</v>
      </c>
      <c r="I74" s="223">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290"/>
      <c r="B75" s="290"/>
      <c r="C75" s="290"/>
      <c r="D75" s="279"/>
      <c r="E75" s="36" t="s">
        <v>298</v>
      </c>
      <c r="F75" s="105">
        <f t="shared" si="19"/>
        <v>0</v>
      </c>
      <c r="G75" s="114">
        <v>1</v>
      </c>
      <c r="H75" s="105">
        <f t="shared" si="18"/>
        <v>0</v>
      </c>
      <c r="I75" s="223">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290"/>
      <c r="B76" s="290"/>
      <c r="C76" s="290"/>
      <c r="D76" s="279"/>
      <c r="E76" s="36" t="s">
        <v>843</v>
      </c>
      <c r="F76" s="105"/>
      <c r="G76" s="114"/>
      <c r="H76" s="105"/>
      <c r="I76" s="223">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f>170000+4471.2</f>
        <v>174471.2</v>
      </c>
      <c r="Y76" s="29">
        <f t="shared" si="20"/>
        <v>125528.79999999999</v>
      </c>
    </row>
    <row r="77" spans="1:25" ht="37.5">
      <c r="A77" s="290"/>
      <c r="B77" s="290"/>
      <c r="C77" s="290"/>
      <c r="D77" s="279"/>
      <c r="E77" s="36" t="s">
        <v>299</v>
      </c>
      <c r="F77" s="105">
        <f t="shared" si="19"/>
        <v>1155000</v>
      </c>
      <c r="G77" s="114">
        <v>1</v>
      </c>
      <c r="H77" s="105">
        <f t="shared" si="18"/>
        <v>1155000</v>
      </c>
      <c r="I77" s="223">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v>12227.1</v>
      </c>
      <c r="Y77" s="29">
        <f t="shared" si="20"/>
        <v>272772.9</v>
      </c>
    </row>
    <row r="78" spans="1:25" ht="56.25">
      <c r="A78" s="290"/>
      <c r="B78" s="290"/>
      <c r="C78" s="290"/>
      <c r="D78" s="279"/>
      <c r="E78" s="36" t="s">
        <v>300</v>
      </c>
      <c r="F78" s="105">
        <f t="shared" si="19"/>
        <v>450000</v>
      </c>
      <c r="G78" s="114">
        <v>1</v>
      </c>
      <c r="H78" s="105">
        <f t="shared" si="18"/>
        <v>450000</v>
      </c>
      <c r="I78" s="223">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192586</v>
      </c>
    </row>
    <row r="79" spans="1:25" ht="40.5" customHeight="1">
      <c r="A79" s="290"/>
      <c r="B79" s="290"/>
      <c r="C79" s="290"/>
      <c r="D79" s="279"/>
      <c r="E79" s="36" t="s">
        <v>301</v>
      </c>
      <c r="F79" s="105">
        <f t="shared" si="19"/>
        <v>14800</v>
      </c>
      <c r="G79" s="114">
        <v>1</v>
      </c>
      <c r="H79" s="105">
        <f t="shared" si="18"/>
        <v>14800</v>
      </c>
      <c r="I79" s="223">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800</v>
      </c>
    </row>
    <row r="80" spans="1:25" ht="40.5" customHeight="1">
      <c r="A80" s="290"/>
      <c r="B80" s="290"/>
      <c r="C80" s="290"/>
      <c r="D80" s="279"/>
      <c r="E80" s="36" t="s">
        <v>212</v>
      </c>
      <c r="F80" s="105">
        <f t="shared" si="19"/>
        <v>142429</v>
      </c>
      <c r="G80" s="114"/>
      <c r="H80" s="105">
        <f t="shared" si="18"/>
        <v>142429</v>
      </c>
      <c r="I80" s="223">
        <v>3132</v>
      </c>
      <c r="J80" s="40">
        <v>142429</v>
      </c>
      <c r="K80" s="29"/>
      <c r="L80" s="29"/>
      <c r="M80" s="29"/>
      <c r="N80" s="29"/>
      <c r="O80" s="29"/>
      <c r="P80" s="29"/>
      <c r="Q80" s="29"/>
      <c r="R80" s="29">
        <v>28429</v>
      </c>
      <c r="S80" s="29">
        <v>70000</v>
      </c>
      <c r="T80" s="29">
        <v>44000</v>
      </c>
      <c r="U80" s="29"/>
      <c r="V80" s="29"/>
      <c r="W80" s="29">
        <f>J80-K80-L80-M80-N80-O80-P80-Q80-R80-S80-T80-U80-V80</f>
        <v>0</v>
      </c>
      <c r="X80" s="29"/>
      <c r="Y80" s="29">
        <f t="shared" si="20"/>
        <v>28429</v>
      </c>
    </row>
    <row r="81" spans="1:25" ht="37.5">
      <c r="A81" s="290"/>
      <c r="B81" s="290"/>
      <c r="C81" s="290"/>
      <c r="D81" s="279"/>
      <c r="E81" s="36" t="s">
        <v>302</v>
      </c>
      <c r="F81" s="105">
        <f t="shared" si="19"/>
        <v>35900</v>
      </c>
      <c r="G81" s="114">
        <v>1</v>
      </c>
      <c r="H81" s="105">
        <f t="shared" si="18"/>
        <v>35900</v>
      </c>
      <c r="I81" s="223">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290"/>
      <c r="B82" s="290"/>
      <c r="C82" s="290"/>
      <c r="D82" s="279"/>
      <c r="E82" s="36" t="s">
        <v>303</v>
      </c>
      <c r="F82" s="105">
        <f t="shared" si="19"/>
        <v>400000</v>
      </c>
      <c r="G82" s="114">
        <v>1</v>
      </c>
      <c r="H82" s="105">
        <f t="shared" si="18"/>
        <v>400000</v>
      </c>
      <c r="I82" s="223">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114527.91999999998</v>
      </c>
    </row>
    <row r="83" spans="1:25" ht="56.25">
      <c r="A83" s="290"/>
      <c r="B83" s="290"/>
      <c r="C83" s="290"/>
      <c r="D83" s="279"/>
      <c r="E83" s="36" t="s">
        <v>304</v>
      </c>
      <c r="F83" s="105">
        <f t="shared" si="19"/>
        <v>400000</v>
      </c>
      <c r="G83" s="114">
        <v>1</v>
      </c>
      <c r="H83" s="105">
        <f t="shared" si="18"/>
        <v>400000</v>
      </c>
      <c r="I83" s="223">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290"/>
      <c r="B84" s="290"/>
      <c r="C84" s="290"/>
      <c r="D84" s="279"/>
      <c r="E84" s="36" t="s">
        <v>305</v>
      </c>
      <c r="F84" s="105">
        <f t="shared" si="19"/>
        <v>20600</v>
      </c>
      <c r="G84" s="114">
        <v>1</v>
      </c>
      <c r="H84" s="105">
        <f t="shared" si="18"/>
        <v>20600</v>
      </c>
      <c r="I84" s="223">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290"/>
      <c r="B85" s="290"/>
      <c r="C85" s="290"/>
      <c r="D85" s="279"/>
      <c r="E85" s="36" t="s">
        <v>844</v>
      </c>
      <c r="F85" s="105">
        <f t="shared" si="19"/>
        <v>700000</v>
      </c>
      <c r="G85" s="114"/>
      <c r="H85" s="105">
        <f t="shared" si="18"/>
        <v>700000</v>
      </c>
      <c r="I85" s="223">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15768.799999999988</v>
      </c>
    </row>
    <row r="86" spans="1:25" ht="36" hidden="1">
      <c r="A86" s="290"/>
      <c r="B86" s="290"/>
      <c r="C86" s="290"/>
      <c r="D86" s="279"/>
      <c r="E86" s="36" t="s">
        <v>343</v>
      </c>
      <c r="F86" s="105">
        <f t="shared" si="19"/>
        <v>0</v>
      </c>
      <c r="G86" s="114">
        <v>1</v>
      </c>
      <c r="H86" s="105">
        <f t="shared" si="18"/>
        <v>0</v>
      </c>
      <c r="I86" s="223">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290"/>
      <c r="B87" s="290"/>
      <c r="C87" s="290"/>
      <c r="D87" s="279"/>
      <c r="E87" s="36" t="s">
        <v>344</v>
      </c>
      <c r="F87" s="105">
        <f t="shared" si="19"/>
        <v>0</v>
      </c>
      <c r="G87" s="114">
        <v>1</v>
      </c>
      <c r="H87" s="105">
        <f t="shared" si="18"/>
        <v>0</v>
      </c>
      <c r="I87" s="223">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290"/>
      <c r="B88" s="290"/>
      <c r="C88" s="290"/>
      <c r="D88" s="279"/>
      <c r="E88" s="36" t="s">
        <v>345</v>
      </c>
      <c r="F88" s="105">
        <f t="shared" si="19"/>
        <v>700000</v>
      </c>
      <c r="G88" s="114">
        <v>1</v>
      </c>
      <c r="H88" s="105">
        <f t="shared" si="18"/>
        <v>700000</v>
      </c>
      <c r="I88" s="223">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v>9600</v>
      </c>
      <c r="Y88" s="29">
        <f t="shared" si="20"/>
        <v>335400</v>
      </c>
    </row>
    <row r="89" spans="1:25" ht="37.5">
      <c r="A89" s="290"/>
      <c r="B89" s="290"/>
      <c r="C89" s="290"/>
      <c r="D89" s="279"/>
      <c r="E89" s="36" t="s">
        <v>346</v>
      </c>
      <c r="F89" s="105">
        <f t="shared" si="19"/>
        <v>214500</v>
      </c>
      <c r="G89" s="114">
        <v>1</v>
      </c>
      <c r="H89" s="105">
        <f t="shared" si="18"/>
        <v>214500</v>
      </c>
      <c r="I89" s="223">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290"/>
      <c r="B90" s="290"/>
      <c r="C90" s="290"/>
      <c r="D90" s="279"/>
      <c r="E90" s="36" t="s">
        <v>763</v>
      </c>
      <c r="F90" s="105">
        <f t="shared" si="19"/>
        <v>250000</v>
      </c>
      <c r="G90" s="114">
        <v>1</v>
      </c>
      <c r="H90" s="105">
        <f t="shared" si="18"/>
        <v>250000</v>
      </c>
      <c r="I90" s="223">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290"/>
      <c r="B91" s="290"/>
      <c r="C91" s="290"/>
      <c r="D91" s="279"/>
      <c r="E91" s="36" t="s">
        <v>855</v>
      </c>
      <c r="F91" s="105">
        <f t="shared" si="19"/>
        <v>450000</v>
      </c>
      <c r="G91" s="114">
        <v>1</v>
      </c>
      <c r="H91" s="105">
        <f t="shared" si="18"/>
        <v>450000</v>
      </c>
      <c r="I91" s="223">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290"/>
      <c r="B92" s="290"/>
      <c r="C92" s="290"/>
      <c r="D92" s="279"/>
      <c r="E92" s="36" t="s">
        <v>347</v>
      </c>
      <c r="F92" s="105">
        <f t="shared" si="19"/>
        <v>55000</v>
      </c>
      <c r="G92" s="114">
        <v>1</v>
      </c>
      <c r="H92" s="105">
        <f t="shared" si="18"/>
        <v>55000</v>
      </c>
      <c r="I92" s="223">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290"/>
      <c r="B93" s="290"/>
      <c r="C93" s="290"/>
      <c r="D93" s="279"/>
      <c r="E93" s="36" t="s">
        <v>348</v>
      </c>
      <c r="F93" s="105">
        <f t="shared" si="19"/>
        <v>500000</v>
      </c>
      <c r="G93" s="114">
        <v>1</v>
      </c>
      <c r="H93" s="105">
        <f t="shared" si="18"/>
        <v>500000</v>
      </c>
      <c r="I93" s="223">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200000+1231.2</f>
        <v>201231.2</v>
      </c>
      <c r="Y93" s="29">
        <f t="shared" si="20"/>
        <v>73768.79999999999</v>
      </c>
    </row>
    <row r="94" spans="1:25" ht="37.5">
      <c r="A94" s="290"/>
      <c r="B94" s="290"/>
      <c r="C94" s="290"/>
      <c r="D94" s="279"/>
      <c r="E94" s="36" t="s">
        <v>349</v>
      </c>
      <c r="F94" s="105">
        <f t="shared" si="19"/>
        <v>100000</v>
      </c>
      <c r="G94" s="114">
        <v>1</v>
      </c>
      <c r="H94" s="105">
        <f t="shared" si="18"/>
        <v>100000</v>
      </c>
      <c r="I94" s="223">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50000</v>
      </c>
    </row>
    <row r="95" spans="1:25" ht="36" hidden="1">
      <c r="A95" s="290"/>
      <c r="B95" s="290"/>
      <c r="C95" s="290"/>
      <c r="D95" s="279"/>
      <c r="E95" s="36" t="s">
        <v>259</v>
      </c>
      <c r="F95" s="105">
        <f t="shared" si="19"/>
        <v>0</v>
      </c>
      <c r="G95" s="114">
        <v>1</v>
      </c>
      <c r="H95" s="105">
        <f t="shared" si="18"/>
        <v>0</v>
      </c>
      <c r="I95" s="223">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290"/>
      <c r="B96" s="290"/>
      <c r="C96" s="290"/>
      <c r="D96" s="279"/>
      <c r="E96" s="36" t="s">
        <v>260</v>
      </c>
      <c r="F96" s="105">
        <f t="shared" si="19"/>
        <v>100000</v>
      </c>
      <c r="G96" s="114">
        <v>1</v>
      </c>
      <c r="H96" s="105">
        <f t="shared" si="18"/>
        <v>100000</v>
      </c>
      <c r="I96" s="223">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290"/>
      <c r="B97" s="290"/>
      <c r="C97" s="290"/>
      <c r="D97" s="279"/>
      <c r="E97" s="36" t="s">
        <v>261</v>
      </c>
      <c r="F97" s="105">
        <f t="shared" si="19"/>
        <v>500000</v>
      </c>
      <c r="G97" s="114">
        <v>1</v>
      </c>
      <c r="H97" s="105">
        <f t="shared" si="18"/>
        <v>500000</v>
      </c>
      <c r="I97" s="223">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290"/>
      <c r="B98" s="290"/>
      <c r="C98" s="290"/>
      <c r="D98" s="279"/>
      <c r="E98" s="36" t="s">
        <v>262</v>
      </c>
      <c r="F98" s="105">
        <f t="shared" si="19"/>
        <v>35900</v>
      </c>
      <c r="G98" s="114">
        <v>1</v>
      </c>
      <c r="H98" s="105">
        <f t="shared" si="18"/>
        <v>35900</v>
      </c>
      <c r="I98" s="223">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290"/>
      <c r="B99" s="290"/>
      <c r="C99" s="290"/>
      <c r="D99" s="279"/>
      <c r="E99" s="36" t="s">
        <v>263</v>
      </c>
      <c r="F99" s="105">
        <f t="shared" si="19"/>
        <v>550000</v>
      </c>
      <c r="G99" s="114">
        <v>1</v>
      </c>
      <c r="H99" s="105">
        <f t="shared" si="18"/>
        <v>550000</v>
      </c>
      <c r="I99" s="223">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504</v>
      </c>
    </row>
    <row r="100" spans="1:25" ht="42" customHeight="1" hidden="1">
      <c r="A100" s="290"/>
      <c r="B100" s="290"/>
      <c r="C100" s="290"/>
      <c r="D100" s="279"/>
      <c r="E100" s="36" t="s">
        <v>1041</v>
      </c>
      <c r="F100" s="105">
        <f t="shared" si="19"/>
        <v>0</v>
      </c>
      <c r="G100" s="114">
        <v>1</v>
      </c>
      <c r="H100" s="105">
        <f t="shared" si="18"/>
        <v>0</v>
      </c>
      <c r="I100" s="223">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290"/>
      <c r="B101" s="290"/>
      <c r="C101" s="290"/>
      <c r="D101" s="279"/>
      <c r="E101" s="36" t="s">
        <v>825</v>
      </c>
      <c r="F101" s="105">
        <f t="shared" si="19"/>
        <v>380000</v>
      </c>
      <c r="G101" s="114"/>
      <c r="H101" s="105">
        <f t="shared" si="18"/>
        <v>380000</v>
      </c>
      <c r="I101" s="223">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290"/>
      <c r="B102" s="290"/>
      <c r="C102" s="290"/>
      <c r="D102" s="279"/>
      <c r="E102" s="36" t="s">
        <v>230</v>
      </c>
      <c r="F102" s="105">
        <f t="shared" si="19"/>
        <v>78300</v>
      </c>
      <c r="G102" s="114">
        <v>1</v>
      </c>
      <c r="H102" s="105">
        <f t="shared" si="18"/>
        <v>78300</v>
      </c>
      <c r="I102" s="223">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15000</v>
      </c>
    </row>
    <row r="103" spans="1:25" ht="37.5">
      <c r="A103" s="290"/>
      <c r="B103" s="290"/>
      <c r="C103" s="290"/>
      <c r="D103" s="279"/>
      <c r="E103" s="36" t="s">
        <v>91</v>
      </c>
      <c r="F103" s="105">
        <f t="shared" si="19"/>
        <v>450000</v>
      </c>
      <c r="G103" s="114">
        <v>1</v>
      </c>
      <c r="H103" s="105">
        <f t="shared" si="18"/>
        <v>450000</v>
      </c>
      <c r="I103" s="223">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146000+4471.2</f>
        <v>150471.2</v>
      </c>
      <c r="Y103" s="29">
        <f t="shared" si="20"/>
        <v>29528.79999999999</v>
      </c>
    </row>
    <row r="104" spans="1:25" ht="37.5">
      <c r="A104" s="290"/>
      <c r="B104" s="290"/>
      <c r="C104" s="290"/>
      <c r="D104" s="279"/>
      <c r="E104" s="36" t="s">
        <v>92</v>
      </c>
      <c r="F104" s="105">
        <f t="shared" si="19"/>
        <v>350000</v>
      </c>
      <c r="G104" s="114">
        <v>1</v>
      </c>
      <c r="H104" s="105">
        <f t="shared" si="18"/>
        <v>350000</v>
      </c>
      <c r="I104" s="223">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117000+3000</f>
        <v>120000</v>
      </c>
      <c r="Y104" s="29">
        <f t="shared" si="20"/>
        <v>42000</v>
      </c>
    </row>
    <row r="105" spans="1:25" ht="41.25" customHeight="1">
      <c r="A105" s="290"/>
      <c r="B105" s="290"/>
      <c r="C105" s="290"/>
      <c r="D105" s="279"/>
      <c r="E105" s="36" t="s">
        <v>231</v>
      </c>
      <c r="F105" s="105">
        <f t="shared" si="19"/>
        <v>11500</v>
      </c>
      <c r="G105" s="114">
        <v>1</v>
      </c>
      <c r="H105" s="105">
        <f t="shared" si="18"/>
        <v>11500</v>
      </c>
      <c r="I105" s="223">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500</v>
      </c>
    </row>
    <row r="106" spans="1:25" ht="56.25">
      <c r="A106" s="290"/>
      <c r="B106" s="290"/>
      <c r="C106" s="290"/>
      <c r="D106" s="279"/>
      <c r="E106" s="36" t="s">
        <v>234</v>
      </c>
      <c r="F106" s="105">
        <f t="shared" si="19"/>
        <v>18700</v>
      </c>
      <c r="G106" s="114">
        <v>1</v>
      </c>
      <c r="H106" s="105">
        <f t="shared" si="18"/>
        <v>18700</v>
      </c>
      <c r="I106" s="223">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700</v>
      </c>
    </row>
    <row r="107" spans="1:25" ht="117.75" customHeight="1">
      <c r="A107" s="290"/>
      <c r="B107" s="290"/>
      <c r="C107" s="290"/>
      <c r="D107" s="279"/>
      <c r="E107" s="184" t="s">
        <v>644</v>
      </c>
      <c r="F107" s="199">
        <f t="shared" si="19"/>
        <v>1000000</v>
      </c>
      <c r="G107" s="200">
        <v>1</v>
      </c>
      <c r="H107" s="199">
        <f t="shared" si="18"/>
        <v>1000000</v>
      </c>
      <c r="I107" s="230">
        <v>3132</v>
      </c>
      <c r="J107" s="201">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480643.8+24897</f>
        <v>505540.8</v>
      </c>
      <c r="Y107" s="29">
        <f t="shared" si="20"/>
        <v>394459.2</v>
      </c>
    </row>
    <row r="108" spans="1:25" ht="37.5">
      <c r="A108" s="290"/>
      <c r="B108" s="290"/>
      <c r="C108" s="290"/>
      <c r="D108" s="279"/>
      <c r="E108" s="36" t="s">
        <v>995</v>
      </c>
      <c r="F108" s="105">
        <f t="shared" si="19"/>
        <v>97500</v>
      </c>
      <c r="G108" s="114">
        <v>1</v>
      </c>
      <c r="H108" s="105">
        <f t="shared" si="18"/>
        <v>97500</v>
      </c>
      <c r="I108" s="223">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32500</v>
      </c>
    </row>
    <row r="109" spans="1:25" ht="37.5">
      <c r="A109" s="290"/>
      <c r="B109" s="290"/>
      <c r="C109" s="290"/>
      <c r="D109" s="279"/>
      <c r="E109" s="36" t="s">
        <v>996</v>
      </c>
      <c r="F109" s="105">
        <f t="shared" si="19"/>
        <v>950000</v>
      </c>
      <c r="G109" s="114">
        <v>1</v>
      </c>
      <c r="H109" s="105">
        <f t="shared" si="18"/>
        <v>950000</v>
      </c>
      <c r="I109" s="223">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300000+167388.44+2506.8</f>
        <v>469895.24</v>
      </c>
      <c r="Y109" s="29">
        <f t="shared" si="20"/>
        <v>5104.760000000009</v>
      </c>
    </row>
    <row r="110" spans="1:25" ht="41.25" customHeight="1">
      <c r="A110" s="290"/>
      <c r="B110" s="290"/>
      <c r="C110" s="290"/>
      <c r="D110" s="279"/>
      <c r="E110" s="36" t="s">
        <v>997</v>
      </c>
      <c r="F110" s="105">
        <f t="shared" si="19"/>
        <v>400000</v>
      </c>
      <c r="G110" s="114">
        <v>1</v>
      </c>
      <c r="H110" s="105">
        <f t="shared" si="18"/>
        <v>400000</v>
      </c>
      <c r="I110" s="223">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2257+102743</f>
        <v>105000</v>
      </c>
      <c r="Y110" s="29">
        <f t="shared" si="20"/>
        <v>0</v>
      </c>
    </row>
    <row r="111" spans="1:25" ht="37.5">
      <c r="A111" s="290"/>
      <c r="B111" s="290"/>
      <c r="C111" s="290"/>
      <c r="D111" s="279"/>
      <c r="E111" s="36" t="s">
        <v>701</v>
      </c>
      <c r="F111" s="105">
        <f t="shared" si="19"/>
        <v>500000</v>
      </c>
      <c r="G111" s="114">
        <v>1</v>
      </c>
      <c r="H111" s="105">
        <f t="shared" si="18"/>
        <v>500000</v>
      </c>
      <c r="I111" s="223">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75000</v>
      </c>
    </row>
    <row r="112" spans="1:25" ht="42" customHeight="1">
      <c r="A112" s="290"/>
      <c r="B112" s="290"/>
      <c r="C112" s="290"/>
      <c r="D112" s="279"/>
      <c r="E112" s="36" t="s">
        <v>998</v>
      </c>
      <c r="F112" s="105">
        <f t="shared" si="19"/>
        <v>53500</v>
      </c>
      <c r="G112" s="114">
        <v>1</v>
      </c>
      <c r="H112" s="105">
        <f t="shared" si="18"/>
        <v>53500</v>
      </c>
      <c r="I112" s="223">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14500</v>
      </c>
    </row>
    <row r="113" spans="1:25" ht="37.5">
      <c r="A113" s="290"/>
      <c r="B113" s="290"/>
      <c r="C113" s="290"/>
      <c r="D113" s="279"/>
      <c r="E113" s="36" t="s">
        <v>615</v>
      </c>
      <c r="F113" s="105">
        <f t="shared" si="19"/>
        <v>4600</v>
      </c>
      <c r="G113" s="114">
        <v>1</v>
      </c>
      <c r="H113" s="105">
        <f t="shared" si="18"/>
        <v>4600</v>
      </c>
      <c r="I113" s="223">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4600</v>
      </c>
    </row>
    <row r="114" spans="1:25" ht="62.25" customHeight="1" hidden="1">
      <c r="A114" s="290"/>
      <c r="B114" s="290"/>
      <c r="C114" s="290"/>
      <c r="D114" s="279"/>
      <c r="E114" s="36" t="s">
        <v>591</v>
      </c>
      <c r="F114" s="105">
        <f t="shared" si="19"/>
        <v>0</v>
      </c>
      <c r="G114" s="114">
        <v>1</v>
      </c>
      <c r="H114" s="105">
        <f t="shared" si="18"/>
        <v>0</v>
      </c>
      <c r="I114" s="223">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290"/>
      <c r="B115" s="290"/>
      <c r="C115" s="290"/>
      <c r="D115" s="279"/>
      <c r="E115" s="36" t="s">
        <v>592</v>
      </c>
      <c r="F115" s="105">
        <f t="shared" si="19"/>
        <v>102200</v>
      </c>
      <c r="G115" s="114">
        <v>1</v>
      </c>
      <c r="H115" s="105">
        <f t="shared" si="18"/>
        <v>102200</v>
      </c>
      <c r="I115" s="223">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10200</v>
      </c>
    </row>
    <row r="116" spans="1:25" ht="37.5">
      <c r="A116" s="290"/>
      <c r="B116" s="290"/>
      <c r="C116" s="290"/>
      <c r="D116" s="279"/>
      <c r="E116" s="36" t="s">
        <v>186</v>
      </c>
      <c r="F116" s="105">
        <f t="shared" si="19"/>
        <v>66500</v>
      </c>
      <c r="G116" s="114">
        <v>1</v>
      </c>
      <c r="H116" s="105">
        <f t="shared" si="18"/>
        <v>66500</v>
      </c>
      <c r="I116" s="223">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2500</v>
      </c>
    </row>
    <row r="117" spans="1:25" ht="56.25">
      <c r="A117" s="290"/>
      <c r="B117" s="290"/>
      <c r="C117" s="290"/>
      <c r="D117" s="279"/>
      <c r="E117" s="36" t="s">
        <v>187</v>
      </c>
      <c r="F117" s="105">
        <f t="shared" si="19"/>
        <v>400000</v>
      </c>
      <c r="G117" s="114">
        <v>1</v>
      </c>
      <c r="H117" s="105">
        <f t="shared" si="18"/>
        <v>400000</v>
      </c>
      <c r="I117" s="223">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177000+3000</f>
        <v>180000</v>
      </c>
      <c r="Y117" s="29">
        <f t="shared" si="20"/>
        <v>20000</v>
      </c>
    </row>
    <row r="118" spans="1:25" ht="56.25">
      <c r="A118" s="290"/>
      <c r="B118" s="290"/>
      <c r="C118" s="290"/>
      <c r="D118" s="279"/>
      <c r="E118" s="36" t="s">
        <v>1112</v>
      </c>
      <c r="F118" s="105">
        <f t="shared" si="19"/>
        <v>191100</v>
      </c>
      <c r="G118" s="114">
        <v>1</v>
      </c>
      <c r="H118" s="105">
        <f t="shared" si="18"/>
        <v>191100</v>
      </c>
      <c r="I118" s="223">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v>75100</v>
      </c>
      <c r="Y118" s="29">
        <f t="shared" si="20"/>
        <v>0</v>
      </c>
    </row>
    <row r="119" spans="1:25" ht="37.5">
      <c r="A119" s="290"/>
      <c r="B119" s="290"/>
      <c r="C119" s="290"/>
      <c r="D119" s="279"/>
      <c r="E119" s="36" t="s">
        <v>744</v>
      </c>
      <c r="F119" s="105">
        <f t="shared" si="19"/>
        <v>50500</v>
      </c>
      <c r="G119" s="114">
        <v>1</v>
      </c>
      <c r="H119" s="105">
        <f t="shared" si="18"/>
        <v>50500</v>
      </c>
      <c r="I119" s="223">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759.2900000000009</v>
      </c>
    </row>
    <row r="120" spans="1:25" ht="42" customHeight="1">
      <c r="A120" s="290"/>
      <c r="B120" s="297"/>
      <c r="C120" s="297"/>
      <c r="D120" s="279"/>
      <c r="E120" s="36" t="s">
        <v>702</v>
      </c>
      <c r="F120" s="105">
        <f t="shared" si="19"/>
        <v>52300</v>
      </c>
      <c r="G120" s="114">
        <v>1</v>
      </c>
      <c r="H120" s="105">
        <f t="shared" si="18"/>
        <v>52300</v>
      </c>
      <c r="I120" s="223">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300</v>
      </c>
    </row>
    <row r="121" spans="1:25" ht="37.5">
      <c r="A121" s="297"/>
      <c r="B121" s="42"/>
      <c r="C121" s="42"/>
      <c r="D121" s="292"/>
      <c r="E121" s="36" t="s">
        <v>673</v>
      </c>
      <c r="F121" s="105">
        <f t="shared" si="19"/>
        <v>180000</v>
      </c>
      <c r="G121" s="114"/>
      <c r="H121" s="105">
        <f t="shared" si="18"/>
        <v>180000</v>
      </c>
      <c r="I121" s="223">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54001.399999999994</v>
      </c>
    </row>
    <row r="122" spans="1:25" ht="18.75">
      <c r="A122" s="289" t="s">
        <v>1061</v>
      </c>
      <c r="B122" s="289" t="s">
        <v>1167</v>
      </c>
      <c r="C122" s="289" t="s">
        <v>820</v>
      </c>
      <c r="D122" s="278" t="s">
        <v>190</v>
      </c>
      <c r="E122" s="36"/>
      <c r="F122" s="36"/>
      <c r="G122" s="36"/>
      <c r="H122" s="36"/>
      <c r="I122" s="224"/>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4847633.47</v>
      </c>
      <c r="S122" s="16">
        <f t="shared" si="22"/>
        <v>6554459</v>
      </c>
      <c r="T122" s="16">
        <f t="shared" si="22"/>
        <v>3695000</v>
      </c>
      <c r="U122" s="16">
        <f t="shared" si="22"/>
        <v>5607566.53</v>
      </c>
      <c r="V122" s="16">
        <f t="shared" si="22"/>
        <v>9601500</v>
      </c>
      <c r="W122" s="16">
        <f t="shared" si="22"/>
        <v>-2.3305801732931286E-12</v>
      </c>
      <c r="X122" s="16">
        <f t="shared" si="22"/>
        <v>6138421.51</v>
      </c>
      <c r="Y122" s="29">
        <f t="shared" si="20"/>
        <v>7453776.959999999</v>
      </c>
    </row>
    <row r="123" spans="1:25" ht="393.75">
      <c r="A123" s="290"/>
      <c r="B123" s="290"/>
      <c r="C123" s="290"/>
      <c r="D123" s="279"/>
      <c r="E123" s="43" t="s">
        <v>551</v>
      </c>
      <c r="F123" s="43"/>
      <c r="G123" s="43"/>
      <c r="H123" s="43"/>
      <c r="I123" s="251">
        <v>3110</v>
      </c>
      <c r="J123" s="40">
        <v>1212815</v>
      </c>
      <c r="K123" s="40"/>
      <c r="L123" s="40"/>
      <c r="M123" s="40"/>
      <c r="N123" s="40"/>
      <c r="O123" s="40"/>
      <c r="P123" s="40">
        <v>1212815</v>
      </c>
      <c r="Q123" s="16"/>
      <c r="R123" s="16"/>
      <c r="S123" s="16"/>
      <c r="T123" s="16"/>
      <c r="U123" s="16"/>
      <c r="V123" s="16"/>
      <c r="W123" s="16"/>
      <c r="X123" s="16"/>
      <c r="Y123" s="29">
        <f t="shared" si="20"/>
        <v>1212815</v>
      </c>
    </row>
    <row r="124" spans="1:25" ht="93.75">
      <c r="A124" s="290"/>
      <c r="B124" s="290"/>
      <c r="C124" s="290"/>
      <c r="D124" s="279"/>
      <c r="E124" s="43" t="s">
        <v>118</v>
      </c>
      <c r="F124" s="43"/>
      <c r="G124" s="43"/>
      <c r="H124" s="43"/>
      <c r="I124" s="251">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290"/>
      <c r="B125" s="290"/>
      <c r="C125" s="290"/>
      <c r="D125" s="279"/>
      <c r="E125" s="43" t="s">
        <v>739</v>
      </c>
      <c r="F125" s="43"/>
      <c r="G125" s="43"/>
      <c r="H125" s="43"/>
      <c r="I125" s="251">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290"/>
      <c r="B126" s="290"/>
      <c r="C126" s="290"/>
      <c r="D126" s="279"/>
      <c r="E126" s="43" t="s">
        <v>1043</v>
      </c>
      <c r="F126" s="43"/>
      <c r="G126" s="43"/>
      <c r="H126" s="43"/>
      <c r="I126" s="251">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290"/>
      <c r="B127" s="290"/>
      <c r="C127" s="290"/>
      <c r="D127" s="279"/>
      <c r="E127" s="43" t="s">
        <v>338</v>
      </c>
      <c r="F127" s="43"/>
      <c r="G127" s="43"/>
      <c r="H127" s="43"/>
      <c r="I127" s="251">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290"/>
      <c r="B128" s="290"/>
      <c r="C128" s="290"/>
      <c r="D128" s="279"/>
      <c r="E128" s="43" t="s">
        <v>740</v>
      </c>
      <c r="F128" s="43"/>
      <c r="G128" s="43"/>
      <c r="H128" s="43"/>
      <c r="I128" s="251">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290"/>
      <c r="B129" s="290"/>
      <c r="C129" s="290"/>
      <c r="D129" s="279"/>
      <c r="E129" s="43" t="s">
        <v>121</v>
      </c>
      <c r="F129" s="43"/>
      <c r="G129" s="43"/>
      <c r="H129" s="43"/>
      <c r="I129" s="251">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290"/>
      <c r="B130" s="290"/>
      <c r="C130" s="290"/>
      <c r="D130" s="279"/>
      <c r="E130" s="43" t="s">
        <v>1069</v>
      </c>
      <c r="F130" s="43"/>
      <c r="G130" s="43"/>
      <c r="H130" s="43"/>
      <c r="I130" s="251">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290"/>
      <c r="B131" s="290"/>
      <c r="C131" s="290"/>
      <c r="D131" s="279"/>
      <c r="E131" s="43" t="s">
        <v>1070</v>
      </c>
      <c r="F131" s="43"/>
      <c r="G131" s="43"/>
      <c r="H131" s="43"/>
      <c r="I131" s="251">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290"/>
      <c r="B132" s="290"/>
      <c r="C132" s="290"/>
      <c r="D132" s="279"/>
      <c r="E132" s="43" t="s">
        <v>437</v>
      </c>
      <c r="F132" s="43"/>
      <c r="G132" s="43"/>
      <c r="H132" s="43"/>
      <c r="I132" s="251">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290"/>
      <c r="B133" s="290"/>
      <c r="C133" s="290"/>
      <c r="D133" s="279"/>
      <c r="E133" s="43" t="s">
        <v>761</v>
      </c>
      <c r="F133" s="43"/>
      <c r="G133" s="43"/>
      <c r="H133" s="43"/>
      <c r="I133" s="251">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290"/>
      <c r="B134" s="290"/>
      <c r="C134" s="290"/>
      <c r="D134" s="279"/>
      <c r="E134" s="43" t="s">
        <v>1128</v>
      </c>
      <c r="F134" s="43"/>
      <c r="G134" s="43"/>
      <c r="H134" s="43"/>
      <c r="I134" s="251">
        <v>3110</v>
      </c>
      <c r="J134" s="40">
        <f>200000-200000</f>
        <v>0</v>
      </c>
      <c r="K134" s="29"/>
      <c r="L134" s="29"/>
      <c r="M134" s="29"/>
      <c r="N134" s="29"/>
      <c r="O134" s="29"/>
      <c r="P134" s="29"/>
      <c r="Q134" s="29"/>
      <c r="R134" s="29"/>
      <c r="S134" s="40">
        <f>200000-200000</f>
        <v>0</v>
      </c>
      <c r="T134" s="29"/>
      <c r="U134" s="29"/>
      <c r="V134" s="29"/>
      <c r="W134" s="29">
        <f t="shared" si="21"/>
        <v>0</v>
      </c>
      <c r="X134" s="29"/>
      <c r="Y134" s="29">
        <f aca="true" t="shared" si="23" ref="Y134:Y197">K134+L134+M134+N134+O134+P134+Q134+R134-X134</f>
        <v>0</v>
      </c>
    </row>
    <row r="135" spans="1:25" ht="112.5">
      <c r="A135" s="290"/>
      <c r="B135" s="290"/>
      <c r="C135" s="290"/>
      <c r="D135" s="279"/>
      <c r="E135" s="43" t="s">
        <v>478</v>
      </c>
      <c r="F135" s="43"/>
      <c r="G135" s="43"/>
      <c r="H135" s="43"/>
      <c r="I135" s="251">
        <v>3110</v>
      </c>
      <c r="J135" s="40">
        <v>650000</v>
      </c>
      <c r="K135" s="29"/>
      <c r="L135" s="29"/>
      <c r="M135" s="29"/>
      <c r="N135" s="29"/>
      <c r="O135" s="29"/>
      <c r="P135" s="29"/>
      <c r="Q135" s="29"/>
      <c r="R135" s="29"/>
      <c r="S135" s="40">
        <v>650000</v>
      </c>
      <c r="T135" s="29"/>
      <c r="U135" s="29"/>
      <c r="V135" s="29"/>
      <c r="W135" s="29">
        <f t="shared" si="21"/>
        <v>0</v>
      </c>
      <c r="X135" s="29"/>
      <c r="Y135" s="29">
        <f t="shared" si="23"/>
        <v>0</v>
      </c>
    </row>
    <row r="136" spans="1:25" ht="62.25" customHeight="1">
      <c r="A136" s="290"/>
      <c r="B136" s="290"/>
      <c r="C136" s="290"/>
      <c r="D136" s="279"/>
      <c r="E136" s="43" t="s">
        <v>479</v>
      </c>
      <c r="F136" s="43"/>
      <c r="G136" s="43"/>
      <c r="H136" s="43"/>
      <c r="I136" s="251">
        <v>3110</v>
      </c>
      <c r="J136" s="40">
        <v>220000</v>
      </c>
      <c r="K136" s="29"/>
      <c r="L136" s="29"/>
      <c r="M136" s="29"/>
      <c r="N136" s="29"/>
      <c r="O136" s="29"/>
      <c r="P136" s="29"/>
      <c r="Q136" s="29"/>
      <c r="R136" s="29"/>
      <c r="S136" s="40">
        <v>220000</v>
      </c>
      <c r="T136" s="29"/>
      <c r="U136" s="29"/>
      <c r="V136" s="29"/>
      <c r="W136" s="29">
        <f t="shared" si="21"/>
        <v>0</v>
      </c>
      <c r="X136" s="29"/>
      <c r="Y136" s="29">
        <f t="shared" si="23"/>
        <v>0</v>
      </c>
    </row>
    <row r="137" spans="1:25" ht="81" customHeight="1">
      <c r="A137" s="290"/>
      <c r="B137" s="290"/>
      <c r="C137" s="290"/>
      <c r="D137" s="279"/>
      <c r="E137" s="43" t="s">
        <v>752</v>
      </c>
      <c r="F137" s="43"/>
      <c r="G137" s="43"/>
      <c r="H137" s="43"/>
      <c r="I137" s="251">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3"/>
        <v>0</v>
      </c>
    </row>
    <row r="138" spans="1:25" ht="56.25">
      <c r="A138" s="290"/>
      <c r="B138" s="290"/>
      <c r="C138" s="290"/>
      <c r="D138" s="279"/>
      <c r="E138" s="43" t="s">
        <v>308</v>
      </c>
      <c r="F138" s="43"/>
      <c r="G138" s="43"/>
      <c r="H138" s="43"/>
      <c r="I138" s="251">
        <v>3110</v>
      </c>
      <c r="J138" s="40">
        <v>40000</v>
      </c>
      <c r="K138" s="29"/>
      <c r="L138" s="29"/>
      <c r="M138" s="29"/>
      <c r="N138" s="29"/>
      <c r="O138" s="29"/>
      <c r="P138" s="29"/>
      <c r="Q138" s="29"/>
      <c r="R138" s="29"/>
      <c r="S138" s="40">
        <v>40000</v>
      </c>
      <c r="T138" s="29"/>
      <c r="U138" s="29"/>
      <c r="V138" s="29"/>
      <c r="W138" s="29">
        <f t="shared" si="21"/>
        <v>0</v>
      </c>
      <c r="X138" s="29"/>
      <c r="Y138" s="29">
        <f t="shared" si="23"/>
        <v>0</v>
      </c>
    </row>
    <row r="139" spans="1:25" ht="86.25" customHeight="1">
      <c r="A139" s="290"/>
      <c r="B139" s="290"/>
      <c r="C139" s="290"/>
      <c r="D139" s="279"/>
      <c r="E139" s="43" t="s">
        <v>718</v>
      </c>
      <c r="F139" s="43"/>
      <c r="G139" s="43"/>
      <c r="H139" s="43"/>
      <c r="I139" s="251">
        <v>3110</v>
      </c>
      <c r="J139" s="40">
        <f>600000-50000</f>
        <v>550000</v>
      </c>
      <c r="K139" s="29"/>
      <c r="L139" s="29"/>
      <c r="M139" s="29"/>
      <c r="N139" s="29"/>
      <c r="O139" s="29"/>
      <c r="P139" s="29"/>
      <c r="Q139" s="29"/>
      <c r="R139" s="29"/>
      <c r="S139" s="40">
        <f>600000-50000</f>
        <v>550000</v>
      </c>
      <c r="T139" s="29"/>
      <c r="U139" s="29"/>
      <c r="V139" s="29"/>
      <c r="W139" s="29">
        <f t="shared" si="21"/>
        <v>0</v>
      </c>
      <c r="X139" s="29"/>
      <c r="Y139" s="29">
        <f t="shared" si="23"/>
        <v>0</v>
      </c>
    </row>
    <row r="140" spans="1:25" ht="56.25">
      <c r="A140" s="290"/>
      <c r="B140" s="290"/>
      <c r="C140" s="290"/>
      <c r="D140" s="279"/>
      <c r="E140" s="43" t="s">
        <v>1009</v>
      </c>
      <c r="F140" s="43"/>
      <c r="G140" s="43"/>
      <c r="H140" s="43"/>
      <c r="I140" s="251">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290"/>
      <c r="B141" s="290"/>
      <c r="C141" s="290"/>
      <c r="D141" s="279"/>
      <c r="E141" s="43" t="s">
        <v>453</v>
      </c>
      <c r="F141" s="43"/>
      <c r="G141" s="43"/>
      <c r="H141" s="43"/>
      <c r="I141" s="251">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290"/>
      <c r="B142" s="290"/>
      <c r="C142" s="290"/>
      <c r="D142" s="279"/>
      <c r="E142" s="43" t="s">
        <v>1010</v>
      </c>
      <c r="F142" s="43"/>
      <c r="G142" s="43"/>
      <c r="H142" s="43"/>
      <c r="I142" s="251">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60000</v>
      </c>
    </row>
    <row r="143" spans="1:25" ht="56.25">
      <c r="A143" s="290"/>
      <c r="B143" s="290"/>
      <c r="C143" s="290"/>
      <c r="D143" s="279"/>
      <c r="E143" s="43" t="s">
        <v>1011</v>
      </c>
      <c r="F143" s="43"/>
      <c r="G143" s="43"/>
      <c r="H143" s="43"/>
      <c r="I143" s="251">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99000</v>
      </c>
    </row>
    <row r="144" spans="1:25" ht="56.25">
      <c r="A144" s="290"/>
      <c r="B144" s="290"/>
      <c r="C144" s="290"/>
      <c r="D144" s="279"/>
      <c r="E144" s="43" t="s">
        <v>355</v>
      </c>
      <c r="F144" s="43"/>
      <c r="G144" s="43"/>
      <c r="H144" s="43"/>
      <c r="I144" s="251">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290"/>
      <c r="B145" s="290"/>
      <c r="C145" s="290"/>
      <c r="D145" s="279"/>
      <c r="E145" s="43" t="s">
        <v>356</v>
      </c>
      <c r="F145" s="105">
        <f>J145</f>
        <v>500000</v>
      </c>
      <c r="G145" s="114">
        <v>1</v>
      </c>
      <c r="H145" s="105">
        <f>J145</f>
        <v>500000</v>
      </c>
      <c r="I145" s="223">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149000</v>
      </c>
    </row>
    <row r="146" spans="1:25" ht="82.5" customHeight="1">
      <c r="A146" s="290"/>
      <c r="B146" s="290"/>
      <c r="C146" s="290"/>
      <c r="D146" s="279"/>
      <c r="E146" s="43" t="s">
        <v>1058</v>
      </c>
      <c r="F146" s="105">
        <f aca="true" t="shared" si="25" ref="F146:F204">J146</f>
        <v>195000</v>
      </c>
      <c r="G146" s="114">
        <v>1</v>
      </c>
      <c r="H146" s="105">
        <f aca="true" t="shared" si="26" ref="H146:H204">J146</f>
        <v>195000</v>
      </c>
      <c r="I146" s="223">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f>186536+3218</f>
        <v>189754</v>
      </c>
      <c r="Y146" s="29">
        <f t="shared" si="23"/>
        <v>5246</v>
      </c>
    </row>
    <row r="147" spans="1:25" ht="56.25">
      <c r="A147" s="290"/>
      <c r="B147" s="290"/>
      <c r="C147" s="290"/>
      <c r="D147" s="279"/>
      <c r="E147" s="43" t="s">
        <v>939</v>
      </c>
      <c r="F147" s="105">
        <f t="shared" si="25"/>
        <v>45700</v>
      </c>
      <c r="G147" s="114">
        <v>1</v>
      </c>
      <c r="H147" s="105">
        <f t="shared" si="26"/>
        <v>45700</v>
      </c>
      <c r="I147" s="223">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290"/>
      <c r="B148" s="290"/>
      <c r="C148" s="290"/>
      <c r="D148" s="279"/>
      <c r="E148" s="43" t="s">
        <v>672</v>
      </c>
      <c r="F148" s="105"/>
      <c r="G148" s="114"/>
      <c r="H148" s="105"/>
      <c r="I148" s="223">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290"/>
      <c r="B149" s="290"/>
      <c r="C149" s="290"/>
      <c r="D149" s="279"/>
      <c r="E149" s="43" t="s">
        <v>1130</v>
      </c>
      <c r="F149" s="105">
        <f t="shared" si="25"/>
        <v>1000000</v>
      </c>
      <c r="G149" s="114">
        <v>1</v>
      </c>
      <c r="H149" s="105">
        <f t="shared" si="26"/>
        <v>1000000</v>
      </c>
      <c r="I149" s="223">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150000</v>
      </c>
    </row>
    <row r="150" spans="1:25" ht="56.25">
      <c r="A150" s="290"/>
      <c r="B150" s="290"/>
      <c r="C150" s="290"/>
      <c r="D150" s="279"/>
      <c r="E150" s="43" t="s">
        <v>1131</v>
      </c>
      <c r="F150" s="105">
        <f t="shared" si="25"/>
        <v>155500</v>
      </c>
      <c r="G150" s="114">
        <v>1</v>
      </c>
      <c r="H150" s="105">
        <f t="shared" si="26"/>
        <v>155500</v>
      </c>
      <c r="I150" s="223">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290"/>
      <c r="B151" s="290"/>
      <c r="C151" s="290"/>
      <c r="D151" s="279"/>
      <c r="E151" s="43" t="s">
        <v>1132</v>
      </c>
      <c r="F151" s="105">
        <f t="shared" si="25"/>
        <v>500000</v>
      </c>
      <c r="G151" s="114">
        <v>1</v>
      </c>
      <c r="H151" s="105">
        <f t="shared" si="26"/>
        <v>500000</v>
      </c>
      <c r="I151" s="223">
        <v>3132</v>
      </c>
      <c r="J151" s="40">
        <v>500000</v>
      </c>
      <c r="K151" s="29"/>
      <c r="L151" s="29"/>
      <c r="M151" s="29">
        <v>25000</v>
      </c>
      <c r="N151" s="29"/>
      <c r="O151" s="29">
        <v>335000</v>
      </c>
      <c r="P151" s="29">
        <f>173495.31-170000-20000</f>
        <v>-16504.690000000002</v>
      </c>
      <c r="Q151" s="29">
        <f>66504.69-60000</f>
        <v>6504.690000000002</v>
      </c>
      <c r="R151" s="29">
        <f>75000-4000</f>
        <v>71000</v>
      </c>
      <c r="S151" s="29"/>
      <c r="T151" s="29">
        <f>160000-113000</f>
        <v>47000</v>
      </c>
      <c r="U151" s="29">
        <f>7000+4000</f>
        <v>11000</v>
      </c>
      <c r="V151" s="29">
        <f>1000+20000</f>
        <v>21000</v>
      </c>
      <c r="W151" s="29">
        <f t="shared" si="24"/>
        <v>0</v>
      </c>
      <c r="X151" s="29">
        <f>342539.96</f>
        <v>342539.96</v>
      </c>
      <c r="Y151" s="29">
        <f t="shared" si="23"/>
        <v>78460.03999999998</v>
      </c>
    </row>
    <row r="152" spans="1:25" ht="56.25">
      <c r="A152" s="290"/>
      <c r="B152" s="290"/>
      <c r="C152" s="290"/>
      <c r="D152" s="279"/>
      <c r="E152" s="43" t="s">
        <v>1133</v>
      </c>
      <c r="F152" s="105">
        <f t="shared" si="25"/>
        <v>123800</v>
      </c>
      <c r="G152" s="114">
        <v>1</v>
      </c>
      <c r="H152" s="105">
        <f t="shared" si="26"/>
        <v>123800</v>
      </c>
      <c r="I152" s="223">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290"/>
      <c r="B153" s="290"/>
      <c r="C153" s="290"/>
      <c r="D153" s="279"/>
      <c r="E153" s="43" t="s">
        <v>667</v>
      </c>
      <c r="F153" s="105">
        <f t="shared" si="25"/>
        <v>0</v>
      </c>
      <c r="G153" s="114">
        <v>1</v>
      </c>
      <c r="H153" s="105">
        <f t="shared" si="26"/>
        <v>0</v>
      </c>
      <c r="I153" s="223">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290"/>
      <c r="B154" s="290"/>
      <c r="C154" s="290"/>
      <c r="D154" s="279"/>
      <c r="E154" s="43" t="s">
        <v>668</v>
      </c>
      <c r="F154" s="105">
        <f t="shared" si="25"/>
        <v>440000</v>
      </c>
      <c r="G154" s="114">
        <v>1</v>
      </c>
      <c r="H154" s="105">
        <f t="shared" si="26"/>
        <v>440000</v>
      </c>
      <c r="I154" s="223">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89463+53902.2+2174.51+1231.2</f>
        <v>146770.91000000003</v>
      </c>
      <c r="Y154" s="29">
        <f t="shared" si="23"/>
        <v>78229.08999999997</v>
      </c>
    </row>
    <row r="155" spans="1:25" ht="37.5">
      <c r="A155" s="290"/>
      <c r="B155" s="290"/>
      <c r="C155" s="290"/>
      <c r="D155" s="279"/>
      <c r="E155" s="43" t="s">
        <v>669</v>
      </c>
      <c r="F155" s="105">
        <f t="shared" si="25"/>
        <v>350000</v>
      </c>
      <c r="G155" s="114">
        <v>1</v>
      </c>
      <c r="H155" s="105">
        <f t="shared" si="26"/>
        <v>350000</v>
      </c>
      <c r="I155" s="223">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177688.8</v>
      </c>
    </row>
    <row r="156" spans="1:25" ht="131.25">
      <c r="A156" s="290"/>
      <c r="B156" s="290"/>
      <c r="C156" s="290"/>
      <c r="D156" s="279"/>
      <c r="E156" s="186" t="s">
        <v>208</v>
      </c>
      <c r="F156" s="199">
        <f t="shared" si="25"/>
        <v>768000</v>
      </c>
      <c r="G156" s="200"/>
      <c r="H156" s="199">
        <f t="shared" si="26"/>
        <v>768000</v>
      </c>
      <c r="I156" s="230">
        <v>3132</v>
      </c>
      <c r="J156" s="201">
        <v>768000</v>
      </c>
      <c r="K156" s="180"/>
      <c r="L156" s="180"/>
      <c r="M156" s="180"/>
      <c r="N156" s="180"/>
      <c r="O156" s="180"/>
      <c r="P156" s="180"/>
      <c r="Q156" s="180"/>
      <c r="R156" s="180">
        <v>620000</v>
      </c>
      <c r="S156" s="180"/>
      <c r="T156" s="180"/>
      <c r="U156" s="180"/>
      <c r="V156" s="180">
        <v>148000</v>
      </c>
      <c r="W156" s="29">
        <f t="shared" si="24"/>
        <v>0</v>
      </c>
      <c r="X156" s="29">
        <f>31618.8</f>
        <v>31618.8</v>
      </c>
      <c r="Y156" s="29">
        <f t="shared" si="23"/>
        <v>588381.2</v>
      </c>
    </row>
    <row r="157" spans="1:25" ht="100.5" customHeight="1">
      <c r="A157" s="290"/>
      <c r="B157" s="290"/>
      <c r="C157" s="290"/>
      <c r="D157" s="279"/>
      <c r="E157" s="194" t="s">
        <v>570</v>
      </c>
      <c r="F157" s="202">
        <f t="shared" si="25"/>
        <v>320000</v>
      </c>
      <c r="G157" s="203">
        <v>1</v>
      </c>
      <c r="H157" s="202">
        <f t="shared" si="26"/>
        <v>320000</v>
      </c>
      <c r="I157" s="231">
        <v>3132</v>
      </c>
      <c r="J157" s="204">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120000</v>
      </c>
    </row>
    <row r="158" spans="1:25" ht="56.25">
      <c r="A158" s="290"/>
      <c r="B158" s="290"/>
      <c r="C158" s="290"/>
      <c r="D158" s="279"/>
      <c r="E158" s="43" t="s">
        <v>703</v>
      </c>
      <c r="F158" s="105">
        <f t="shared" si="25"/>
        <v>500000</v>
      </c>
      <c r="G158" s="114">
        <v>1</v>
      </c>
      <c r="H158" s="105">
        <f t="shared" si="26"/>
        <v>500000</v>
      </c>
      <c r="I158" s="223">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17594.79999999999</v>
      </c>
    </row>
    <row r="159" spans="1:25" ht="56.25">
      <c r="A159" s="290"/>
      <c r="B159" s="290"/>
      <c r="C159" s="290"/>
      <c r="D159" s="279"/>
      <c r="E159" s="43" t="s">
        <v>999</v>
      </c>
      <c r="F159" s="105">
        <f t="shared" si="25"/>
        <v>250000</v>
      </c>
      <c r="G159" s="114"/>
      <c r="H159" s="105">
        <f t="shared" si="26"/>
        <v>250000</v>
      </c>
      <c r="I159" s="223">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290"/>
      <c r="B160" s="290"/>
      <c r="C160" s="290"/>
      <c r="D160" s="279"/>
      <c r="E160" s="43" t="s">
        <v>1115</v>
      </c>
      <c r="F160" s="105">
        <f t="shared" si="25"/>
        <v>50000</v>
      </c>
      <c r="G160" s="114">
        <v>1</v>
      </c>
      <c r="H160" s="105">
        <f t="shared" si="26"/>
        <v>50000</v>
      </c>
      <c r="I160" s="223">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290"/>
      <c r="B161" s="290"/>
      <c r="C161" s="290"/>
      <c r="D161" s="279"/>
      <c r="E161" s="43" t="s">
        <v>1116</v>
      </c>
      <c r="F161" s="105">
        <f t="shared" si="25"/>
        <v>50000</v>
      </c>
      <c r="G161" s="114">
        <v>1</v>
      </c>
      <c r="H161" s="105">
        <f t="shared" si="26"/>
        <v>50000</v>
      </c>
      <c r="I161" s="223">
        <v>3132</v>
      </c>
      <c r="J161" s="40">
        <v>50000</v>
      </c>
      <c r="K161" s="29"/>
      <c r="L161" s="29"/>
      <c r="M161" s="29"/>
      <c r="N161" s="29"/>
      <c r="O161" s="29"/>
      <c r="P161" s="29"/>
      <c r="Q161" s="29"/>
      <c r="R161" s="29">
        <v>50000</v>
      </c>
      <c r="S161" s="29"/>
      <c r="T161" s="29"/>
      <c r="U161" s="29"/>
      <c r="V161" s="29"/>
      <c r="W161" s="29">
        <f t="shared" si="24"/>
        <v>0</v>
      </c>
      <c r="X161" s="29"/>
      <c r="Y161" s="29">
        <f t="shared" si="23"/>
        <v>50000</v>
      </c>
    </row>
    <row r="162" spans="1:25" ht="37.5">
      <c r="A162" s="290"/>
      <c r="B162" s="290"/>
      <c r="C162" s="290"/>
      <c r="D162" s="279"/>
      <c r="E162" s="43" t="s">
        <v>158</v>
      </c>
      <c r="F162" s="105">
        <f t="shared" si="25"/>
        <v>100000</v>
      </c>
      <c r="G162" s="114"/>
      <c r="H162" s="105">
        <f t="shared" si="26"/>
        <v>100000</v>
      </c>
      <c r="I162" s="223">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 t="shared" si="23"/>
        <v>0</v>
      </c>
    </row>
    <row r="163" spans="1:25" ht="37.5">
      <c r="A163" s="290"/>
      <c r="B163" s="290"/>
      <c r="C163" s="290"/>
      <c r="D163" s="279"/>
      <c r="E163" s="43" t="s">
        <v>1117</v>
      </c>
      <c r="F163" s="105">
        <f t="shared" si="25"/>
        <v>600000</v>
      </c>
      <c r="G163" s="114">
        <v>1</v>
      </c>
      <c r="H163" s="105">
        <f t="shared" si="26"/>
        <v>600000</v>
      </c>
      <c r="I163" s="223">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105000</v>
      </c>
    </row>
    <row r="164" spans="1:25" ht="56.25">
      <c r="A164" s="290"/>
      <c r="B164" s="290"/>
      <c r="C164" s="290"/>
      <c r="D164" s="279"/>
      <c r="E164" s="43" t="s">
        <v>333</v>
      </c>
      <c r="F164" s="105">
        <f t="shared" si="25"/>
        <v>40000</v>
      </c>
      <c r="G164" s="114">
        <v>1</v>
      </c>
      <c r="H164" s="105">
        <f t="shared" si="26"/>
        <v>40000</v>
      </c>
      <c r="I164" s="223">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40000</v>
      </c>
    </row>
    <row r="165" spans="1:25" ht="37.5">
      <c r="A165" s="290"/>
      <c r="B165" s="290"/>
      <c r="C165" s="290"/>
      <c r="D165" s="279"/>
      <c r="E165" s="43" t="s">
        <v>334</v>
      </c>
      <c r="F165" s="105">
        <f t="shared" si="25"/>
        <v>280000</v>
      </c>
      <c r="G165" s="114">
        <v>1</v>
      </c>
      <c r="H165" s="105">
        <f t="shared" si="26"/>
        <v>280000</v>
      </c>
      <c r="I165" s="223">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110000</v>
      </c>
    </row>
    <row r="166" spans="1:25" ht="36" hidden="1">
      <c r="A166" s="290"/>
      <c r="B166" s="290"/>
      <c r="C166" s="290"/>
      <c r="D166" s="279"/>
      <c r="E166" s="43" t="s">
        <v>335</v>
      </c>
      <c r="F166" s="105">
        <f t="shared" si="25"/>
        <v>0</v>
      </c>
      <c r="G166" s="114">
        <v>1</v>
      </c>
      <c r="H166" s="105">
        <f t="shared" si="26"/>
        <v>0</v>
      </c>
      <c r="I166" s="223">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290"/>
      <c r="B167" s="290"/>
      <c r="C167" s="290"/>
      <c r="D167" s="279"/>
      <c r="E167" s="43" t="s">
        <v>845</v>
      </c>
      <c r="F167" s="105"/>
      <c r="G167" s="114"/>
      <c r="H167" s="105"/>
      <c r="I167" s="223">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290"/>
      <c r="B168" s="290"/>
      <c r="C168" s="290"/>
      <c r="D168" s="279"/>
      <c r="E168" s="43" t="s">
        <v>577</v>
      </c>
      <c r="F168" s="105">
        <f t="shared" si="25"/>
        <v>900000</v>
      </c>
      <c r="G168" s="114">
        <v>1</v>
      </c>
      <c r="H168" s="105">
        <f t="shared" si="26"/>
        <v>900000</v>
      </c>
      <c r="I168" s="223">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145000</v>
      </c>
    </row>
    <row r="169" spans="1:25" ht="37.5">
      <c r="A169" s="290"/>
      <c r="B169" s="290"/>
      <c r="C169" s="290"/>
      <c r="D169" s="279"/>
      <c r="E169" s="43" t="s">
        <v>768</v>
      </c>
      <c r="F169" s="105">
        <f t="shared" si="25"/>
        <v>800000</v>
      </c>
      <c r="G169" s="114">
        <v>1</v>
      </c>
      <c r="H169" s="105">
        <f t="shared" si="26"/>
        <v>800000</v>
      </c>
      <c r="I169" s="223">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240000</v>
      </c>
    </row>
    <row r="170" spans="1:25" ht="75">
      <c r="A170" s="290"/>
      <c r="B170" s="290"/>
      <c r="C170" s="290"/>
      <c r="D170" s="279"/>
      <c r="E170" s="43" t="s">
        <v>745</v>
      </c>
      <c r="F170" s="105">
        <f t="shared" si="25"/>
        <v>250000</v>
      </c>
      <c r="G170" s="114"/>
      <c r="H170" s="105">
        <f t="shared" si="26"/>
        <v>250000</v>
      </c>
      <c r="I170" s="223">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290"/>
      <c r="B171" s="290"/>
      <c r="C171" s="290"/>
      <c r="D171" s="279"/>
      <c r="E171" s="43" t="s">
        <v>427</v>
      </c>
      <c r="F171" s="105">
        <f t="shared" si="25"/>
        <v>2730000</v>
      </c>
      <c r="G171" s="114">
        <v>1</v>
      </c>
      <c r="H171" s="105">
        <f t="shared" si="26"/>
        <v>2730000</v>
      </c>
      <c r="I171" s="223">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290"/>
      <c r="B172" s="290"/>
      <c r="C172" s="290"/>
      <c r="D172" s="279"/>
      <c r="E172" s="43" t="s">
        <v>53</v>
      </c>
      <c r="F172" s="105">
        <f t="shared" si="25"/>
        <v>274000</v>
      </c>
      <c r="G172" s="114">
        <v>1</v>
      </c>
      <c r="H172" s="105">
        <f t="shared" si="26"/>
        <v>274000</v>
      </c>
      <c r="I172" s="223">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125000</v>
      </c>
    </row>
    <row r="173" spans="1:25" ht="75">
      <c r="A173" s="290"/>
      <c r="B173" s="290"/>
      <c r="C173" s="290"/>
      <c r="D173" s="279"/>
      <c r="E173" s="43" t="s">
        <v>54</v>
      </c>
      <c r="F173" s="105">
        <f t="shared" si="25"/>
        <v>670650</v>
      </c>
      <c r="G173" s="114">
        <v>1</v>
      </c>
      <c r="H173" s="105">
        <f t="shared" si="26"/>
        <v>670650</v>
      </c>
      <c r="I173" s="223">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4102.8+36500+250000</f>
        <v>290602.8</v>
      </c>
      <c r="Y173" s="29">
        <f t="shared" si="23"/>
        <v>47.20000000001164</v>
      </c>
    </row>
    <row r="174" spans="1:25" ht="37.5">
      <c r="A174" s="290"/>
      <c r="B174" s="290"/>
      <c r="C174" s="290"/>
      <c r="D174" s="279"/>
      <c r="E174" s="43" t="s">
        <v>55</v>
      </c>
      <c r="F174" s="105">
        <f t="shared" si="25"/>
        <v>76800</v>
      </c>
      <c r="G174" s="114">
        <v>1</v>
      </c>
      <c r="H174" s="105">
        <f t="shared" si="26"/>
        <v>76800</v>
      </c>
      <c r="I174" s="223">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6800</v>
      </c>
    </row>
    <row r="175" spans="1:25" ht="56.25">
      <c r="A175" s="290"/>
      <c r="B175" s="290"/>
      <c r="C175" s="290"/>
      <c r="D175" s="279"/>
      <c r="E175" s="43" t="s">
        <v>846</v>
      </c>
      <c r="F175" s="105"/>
      <c r="G175" s="114"/>
      <c r="H175" s="105"/>
      <c r="I175" s="223">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290"/>
      <c r="B176" s="290"/>
      <c r="C176" s="290"/>
      <c r="D176" s="279"/>
      <c r="E176" s="43" t="s">
        <v>157</v>
      </c>
      <c r="F176" s="105"/>
      <c r="G176" s="114"/>
      <c r="H176" s="105"/>
      <c r="I176" s="223">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f>97000</f>
        <v>97000</v>
      </c>
      <c r="Y176" s="29">
        <f t="shared" si="23"/>
        <v>3000</v>
      </c>
    </row>
    <row r="177" spans="1:25" ht="37.5">
      <c r="A177" s="290"/>
      <c r="B177" s="290"/>
      <c r="C177" s="290"/>
      <c r="D177" s="279"/>
      <c r="E177" s="43" t="s">
        <v>309</v>
      </c>
      <c r="F177" s="105">
        <f t="shared" si="25"/>
        <v>200000</v>
      </c>
      <c r="G177" s="114">
        <v>1</v>
      </c>
      <c r="H177" s="105">
        <f t="shared" si="26"/>
        <v>200000</v>
      </c>
      <c r="I177" s="223">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40764.78</v>
      </c>
    </row>
    <row r="178" spans="1:25" ht="56.25">
      <c r="A178" s="290"/>
      <c r="B178" s="290"/>
      <c r="C178" s="290"/>
      <c r="D178" s="279"/>
      <c r="E178" s="43" t="s">
        <v>697</v>
      </c>
      <c r="F178" s="105">
        <f t="shared" si="25"/>
        <v>900000</v>
      </c>
      <c r="G178" s="114">
        <v>1</v>
      </c>
      <c r="H178" s="105">
        <f t="shared" si="26"/>
        <v>900000</v>
      </c>
      <c r="I178" s="223">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290"/>
      <c r="B179" s="290"/>
      <c r="C179" s="290"/>
      <c r="D179" s="279"/>
      <c r="E179" s="43" t="s">
        <v>350</v>
      </c>
      <c r="F179" s="105">
        <f t="shared" si="25"/>
        <v>0</v>
      </c>
      <c r="G179" s="114">
        <v>1</v>
      </c>
      <c r="H179" s="105">
        <f t="shared" si="26"/>
        <v>0</v>
      </c>
      <c r="I179" s="223">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290"/>
      <c r="B180" s="290"/>
      <c r="C180" s="290"/>
      <c r="D180" s="279"/>
      <c r="E180" s="43" t="s">
        <v>714</v>
      </c>
      <c r="F180" s="105">
        <f t="shared" si="25"/>
        <v>0</v>
      </c>
      <c r="G180" s="114">
        <v>1</v>
      </c>
      <c r="H180" s="105">
        <f t="shared" si="26"/>
        <v>0</v>
      </c>
      <c r="I180" s="223">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 t="shared" si="23"/>
        <v>0</v>
      </c>
    </row>
    <row r="181" spans="1:25" ht="37.5">
      <c r="A181" s="290"/>
      <c r="B181" s="290"/>
      <c r="C181" s="290"/>
      <c r="D181" s="279"/>
      <c r="E181" s="43" t="s">
        <v>211</v>
      </c>
      <c r="F181" s="105"/>
      <c r="G181" s="114"/>
      <c r="H181" s="105"/>
      <c r="I181" s="223">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 t="shared" si="23"/>
        <v>10000</v>
      </c>
    </row>
    <row r="182" spans="1:25" ht="44.25" customHeight="1">
      <c r="A182" s="290"/>
      <c r="B182" s="290"/>
      <c r="C182" s="290"/>
      <c r="D182" s="279"/>
      <c r="E182" s="43" t="s">
        <v>12</v>
      </c>
      <c r="F182" s="105">
        <f t="shared" si="25"/>
        <v>350000</v>
      </c>
      <c r="G182" s="114">
        <v>1</v>
      </c>
      <c r="H182" s="105">
        <f t="shared" si="26"/>
        <v>350000</v>
      </c>
      <c r="I182" s="223">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180000</v>
      </c>
    </row>
    <row r="183" spans="1:25" ht="42" customHeight="1" hidden="1">
      <c r="A183" s="290"/>
      <c r="B183" s="290"/>
      <c r="C183" s="290"/>
      <c r="D183" s="279"/>
      <c r="E183" s="43" t="s">
        <v>792</v>
      </c>
      <c r="F183" s="105">
        <f t="shared" si="25"/>
        <v>0</v>
      </c>
      <c r="G183" s="114">
        <v>1</v>
      </c>
      <c r="H183" s="105">
        <f t="shared" si="26"/>
        <v>0</v>
      </c>
      <c r="I183" s="223">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290"/>
      <c r="B184" s="290"/>
      <c r="C184" s="290"/>
      <c r="D184" s="279"/>
      <c r="E184" s="43" t="s">
        <v>793</v>
      </c>
      <c r="F184" s="105">
        <f t="shared" si="25"/>
        <v>90000</v>
      </c>
      <c r="G184" s="114">
        <v>1</v>
      </c>
      <c r="H184" s="105">
        <f t="shared" si="26"/>
        <v>90000</v>
      </c>
      <c r="I184" s="223">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290"/>
      <c r="B185" s="290"/>
      <c r="C185" s="290"/>
      <c r="D185" s="279"/>
      <c r="E185" s="194" t="s">
        <v>1125</v>
      </c>
      <c r="F185" s="202">
        <f t="shared" si="25"/>
        <v>1195000</v>
      </c>
      <c r="G185" s="203">
        <v>1</v>
      </c>
      <c r="H185" s="202">
        <f t="shared" si="26"/>
        <v>1195000</v>
      </c>
      <c r="I185" s="231">
        <v>3132</v>
      </c>
      <c r="J185" s="204">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65268.820000000065</v>
      </c>
    </row>
    <row r="186" spans="1:25" ht="37.5">
      <c r="A186" s="290"/>
      <c r="B186" s="290"/>
      <c r="C186" s="290"/>
      <c r="D186" s="279"/>
      <c r="E186" s="43" t="s">
        <v>33</v>
      </c>
      <c r="F186" s="105">
        <f t="shared" si="25"/>
        <v>1000000</v>
      </c>
      <c r="G186" s="114">
        <v>1</v>
      </c>
      <c r="H186" s="105">
        <f t="shared" si="26"/>
        <v>1000000</v>
      </c>
      <c r="I186" s="223">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100000</v>
      </c>
    </row>
    <row r="187" spans="1:25" ht="56.25">
      <c r="A187" s="290"/>
      <c r="B187" s="290"/>
      <c r="C187" s="290"/>
      <c r="D187" s="279"/>
      <c r="E187" s="43" t="s">
        <v>34</v>
      </c>
      <c r="F187" s="105">
        <f t="shared" si="25"/>
        <v>2120000</v>
      </c>
      <c r="G187" s="114">
        <v>1</v>
      </c>
      <c r="H187" s="105">
        <f t="shared" si="26"/>
        <v>2120000</v>
      </c>
      <c r="I187" s="223">
        <v>3132</v>
      </c>
      <c r="J187" s="40">
        <v>2120000</v>
      </c>
      <c r="K187" s="29"/>
      <c r="L187" s="29"/>
      <c r="M187" s="29"/>
      <c r="N187" s="29"/>
      <c r="O187" s="29"/>
      <c r="P187" s="29"/>
      <c r="Q187" s="29">
        <f>100000-100000</f>
        <v>0</v>
      </c>
      <c r="R187" s="29">
        <f>620000-620000</f>
        <v>0</v>
      </c>
      <c r="S187" s="29"/>
      <c r="T187" s="29">
        <f>100000+100000</f>
        <v>200000</v>
      </c>
      <c r="U187" s="29">
        <f>620000</f>
        <v>620000</v>
      </c>
      <c r="V187" s="29">
        <v>1300000</v>
      </c>
      <c r="W187" s="29">
        <f t="shared" si="24"/>
        <v>0</v>
      </c>
      <c r="X187" s="29"/>
      <c r="Y187" s="29">
        <f t="shared" si="23"/>
        <v>0</v>
      </c>
    </row>
    <row r="188" spans="1:25" ht="56.25">
      <c r="A188" s="290"/>
      <c r="B188" s="290"/>
      <c r="C188" s="290"/>
      <c r="D188" s="279"/>
      <c r="E188" s="43" t="s">
        <v>35</v>
      </c>
      <c r="F188" s="105">
        <f t="shared" si="25"/>
        <v>315550</v>
      </c>
      <c r="G188" s="114">
        <v>1</v>
      </c>
      <c r="H188" s="105">
        <f t="shared" si="26"/>
        <v>315550</v>
      </c>
      <c r="I188" s="223">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125550</v>
      </c>
    </row>
    <row r="189" spans="1:25" ht="37.5">
      <c r="A189" s="290"/>
      <c r="B189" s="290"/>
      <c r="C189" s="290"/>
      <c r="D189" s="279"/>
      <c r="E189" s="43" t="s">
        <v>700</v>
      </c>
      <c r="F189" s="105">
        <f t="shared" si="25"/>
        <v>500000</v>
      </c>
      <c r="G189" s="114">
        <v>1</v>
      </c>
      <c r="H189" s="105">
        <f t="shared" si="26"/>
        <v>500000</v>
      </c>
      <c r="I189" s="223">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290"/>
      <c r="B190" s="290"/>
      <c r="C190" s="290"/>
      <c r="D190" s="279"/>
      <c r="E190" s="43" t="s">
        <v>716</v>
      </c>
      <c r="F190" s="105">
        <f t="shared" si="25"/>
        <v>14600</v>
      </c>
      <c r="G190" s="114">
        <v>1</v>
      </c>
      <c r="H190" s="105">
        <f t="shared" si="26"/>
        <v>14600</v>
      </c>
      <c r="I190" s="223">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290"/>
      <c r="B191" s="290"/>
      <c r="C191" s="290"/>
      <c r="D191" s="279"/>
      <c r="E191" s="43" t="s">
        <v>717</v>
      </c>
      <c r="F191" s="105">
        <f t="shared" si="25"/>
        <v>44600</v>
      </c>
      <c r="G191" s="114">
        <v>1</v>
      </c>
      <c r="H191" s="105">
        <f t="shared" si="26"/>
        <v>44600</v>
      </c>
      <c r="I191" s="223">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290"/>
      <c r="B192" s="290"/>
      <c r="C192" s="290"/>
      <c r="D192" s="279"/>
      <c r="E192" s="43" t="s">
        <v>1110</v>
      </c>
      <c r="F192" s="105">
        <f t="shared" si="25"/>
        <v>31700</v>
      </c>
      <c r="G192" s="114">
        <v>1</v>
      </c>
      <c r="H192" s="105">
        <f t="shared" si="26"/>
        <v>31700</v>
      </c>
      <c r="I192" s="223">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290"/>
      <c r="B193" s="290"/>
      <c r="C193" s="290"/>
      <c r="D193" s="279"/>
      <c r="E193" s="43" t="s">
        <v>64</v>
      </c>
      <c r="F193" s="105">
        <f t="shared" si="25"/>
        <v>110000</v>
      </c>
      <c r="G193" s="114"/>
      <c r="H193" s="105">
        <f t="shared" si="26"/>
        <v>110000</v>
      </c>
      <c r="I193" s="223">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68000</v>
      </c>
    </row>
    <row r="194" spans="1:25" ht="37.5">
      <c r="A194" s="290"/>
      <c r="B194" s="290"/>
      <c r="C194" s="290"/>
      <c r="D194" s="279"/>
      <c r="E194" s="43" t="s">
        <v>649</v>
      </c>
      <c r="F194" s="105">
        <f t="shared" si="25"/>
        <v>500000</v>
      </c>
      <c r="G194" s="114">
        <v>1</v>
      </c>
      <c r="H194" s="105">
        <f t="shared" si="26"/>
        <v>500000</v>
      </c>
      <c r="I194" s="223">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290"/>
      <c r="B195" s="290"/>
      <c r="C195" s="290"/>
      <c r="D195" s="279"/>
      <c r="E195" s="43" t="s">
        <v>529</v>
      </c>
      <c r="F195" s="105">
        <f t="shared" si="25"/>
        <v>136000</v>
      </c>
      <c r="G195" s="114"/>
      <c r="H195" s="105">
        <f t="shared" si="26"/>
        <v>136000</v>
      </c>
      <c r="I195" s="223">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290"/>
      <c r="B196" s="290"/>
      <c r="C196" s="290"/>
      <c r="D196" s="279"/>
      <c r="E196" s="186" t="s">
        <v>826</v>
      </c>
      <c r="F196" s="199">
        <f t="shared" si="25"/>
        <v>990000</v>
      </c>
      <c r="G196" s="200"/>
      <c r="H196" s="199">
        <f t="shared" si="26"/>
        <v>990000</v>
      </c>
      <c r="I196" s="230">
        <v>3132</v>
      </c>
      <c r="J196" s="201">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523393.8</v>
      </c>
    </row>
    <row r="197" spans="1:25" ht="37.5">
      <c r="A197" s="290"/>
      <c r="B197" s="290"/>
      <c r="C197" s="290"/>
      <c r="D197" s="279"/>
      <c r="E197" s="43" t="s">
        <v>1001</v>
      </c>
      <c r="F197" s="105">
        <f t="shared" si="25"/>
        <v>400000</v>
      </c>
      <c r="G197" s="114"/>
      <c r="H197" s="105">
        <f t="shared" si="26"/>
        <v>400000</v>
      </c>
      <c r="I197" s="223">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290"/>
      <c r="B198" s="290"/>
      <c r="C198" s="290"/>
      <c r="D198" s="279"/>
      <c r="E198" s="43" t="s">
        <v>650</v>
      </c>
      <c r="F198" s="105">
        <f t="shared" si="25"/>
        <v>0</v>
      </c>
      <c r="G198" s="114">
        <v>1</v>
      </c>
      <c r="H198" s="105">
        <f t="shared" si="26"/>
        <v>0</v>
      </c>
      <c r="I198" s="223">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aca="true" t="shared" si="27" ref="Y198:Y261">K198+L198+M198+N198+O198+P198+Q198+R198-X198</f>
        <v>0</v>
      </c>
    </row>
    <row r="199" spans="1:25" ht="37.5">
      <c r="A199" s="290"/>
      <c r="B199" s="290"/>
      <c r="C199" s="290"/>
      <c r="D199" s="279"/>
      <c r="E199" s="43" t="s">
        <v>722</v>
      </c>
      <c r="F199" s="105"/>
      <c r="G199" s="114"/>
      <c r="H199" s="105"/>
      <c r="I199" s="223">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7"/>
        <v>646.4400000000023</v>
      </c>
    </row>
    <row r="200" spans="1:25" ht="44.25" customHeight="1">
      <c r="A200" s="290"/>
      <c r="B200" s="290"/>
      <c r="C200" s="290"/>
      <c r="D200" s="279"/>
      <c r="E200" s="43" t="s">
        <v>618</v>
      </c>
      <c r="F200" s="105">
        <f t="shared" si="25"/>
        <v>205000</v>
      </c>
      <c r="G200" s="114">
        <v>1</v>
      </c>
      <c r="H200" s="105">
        <f t="shared" si="26"/>
        <v>205000</v>
      </c>
      <c r="I200" s="223">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7"/>
        <v>0</v>
      </c>
    </row>
    <row r="201" spans="1:25" ht="42" customHeight="1">
      <c r="A201" s="290"/>
      <c r="B201" s="290"/>
      <c r="C201" s="290"/>
      <c r="D201" s="279"/>
      <c r="E201" s="43" t="s">
        <v>619</v>
      </c>
      <c r="F201" s="105">
        <f t="shared" si="25"/>
        <v>180000</v>
      </c>
      <c r="G201" s="114">
        <v>1</v>
      </c>
      <c r="H201" s="105">
        <f t="shared" si="26"/>
        <v>180000</v>
      </c>
      <c r="I201" s="223">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7"/>
        <v>3500</v>
      </c>
    </row>
    <row r="202" spans="1:25" ht="42" customHeight="1">
      <c r="A202" s="290"/>
      <c r="B202" s="290"/>
      <c r="C202" s="290"/>
      <c r="D202" s="279"/>
      <c r="E202" s="43" t="s">
        <v>67</v>
      </c>
      <c r="F202" s="105">
        <f t="shared" si="25"/>
        <v>200000</v>
      </c>
      <c r="G202" s="114"/>
      <c r="H202" s="105">
        <f t="shared" si="26"/>
        <v>200000</v>
      </c>
      <c r="I202" s="223">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7"/>
        <v>0</v>
      </c>
    </row>
    <row r="203" spans="1:25" ht="56.25">
      <c r="A203" s="290"/>
      <c r="B203" s="290"/>
      <c r="C203" s="290"/>
      <c r="D203" s="279"/>
      <c r="E203" s="43" t="s">
        <v>620</v>
      </c>
      <c r="F203" s="105">
        <f t="shared" si="25"/>
        <v>7600000</v>
      </c>
      <c r="G203" s="114">
        <v>1</v>
      </c>
      <c r="H203" s="105">
        <f t="shared" si="26"/>
        <v>7600000</v>
      </c>
      <c r="I203" s="223">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7"/>
        <v>1291848.27</v>
      </c>
    </row>
    <row r="204" spans="1:25" ht="37.5">
      <c r="A204" s="290"/>
      <c r="B204" s="297"/>
      <c r="C204" s="290"/>
      <c r="D204" s="279"/>
      <c r="E204" s="36" t="s">
        <v>621</v>
      </c>
      <c r="F204" s="105">
        <f t="shared" si="25"/>
        <v>1280000</v>
      </c>
      <c r="G204" s="114">
        <v>1</v>
      </c>
      <c r="H204" s="105">
        <f t="shared" si="26"/>
        <v>1280000</v>
      </c>
      <c r="I204" s="223">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7"/>
        <v>125561</v>
      </c>
    </row>
    <row r="205" spans="1:25" ht="18.75">
      <c r="A205" s="296" t="s">
        <v>385</v>
      </c>
      <c r="B205" s="289" t="s">
        <v>891</v>
      </c>
      <c r="C205" s="296" t="s">
        <v>819</v>
      </c>
      <c r="D205" s="291" t="s">
        <v>1149</v>
      </c>
      <c r="E205" s="36"/>
      <c r="F205" s="36"/>
      <c r="G205" s="36"/>
      <c r="H205" s="36"/>
      <c r="I205" s="224"/>
      <c r="J205" s="16">
        <f>J206</f>
        <v>1000000</v>
      </c>
      <c r="K205" s="16">
        <f aca="true" t="shared" si="28" ref="K205:X205">K206</f>
        <v>0</v>
      </c>
      <c r="L205" s="16">
        <f t="shared" si="28"/>
        <v>0</v>
      </c>
      <c r="M205" s="16">
        <f t="shared" si="28"/>
        <v>0</v>
      </c>
      <c r="N205" s="16">
        <f t="shared" si="28"/>
        <v>0</v>
      </c>
      <c r="O205" s="16">
        <f t="shared" si="28"/>
        <v>0</v>
      </c>
      <c r="P205" s="16">
        <f t="shared" si="28"/>
        <v>0</v>
      </c>
      <c r="Q205" s="16">
        <f t="shared" si="28"/>
        <v>0</v>
      </c>
      <c r="R205" s="16">
        <f t="shared" si="28"/>
        <v>0</v>
      </c>
      <c r="S205" s="16">
        <f t="shared" si="28"/>
        <v>1000000</v>
      </c>
      <c r="T205" s="16">
        <f t="shared" si="28"/>
        <v>0</v>
      </c>
      <c r="U205" s="16">
        <f t="shared" si="28"/>
        <v>0</v>
      </c>
      <c r="V205" s="16">
        <f t="shared" si="28"/>
        <v>0</v>
      </c>
      <c r="W205" s="16">
        <f t="shared" si="28"/>
        <v>0</v>
      </c>
      <c r="X205" s="16">
        <f t="shared" si="28"/>
        <v>0</v>
      </c>
      <c r="Y205" s="29">
        <f t="shared" si="27"/>
        <v>0</v>
      </c>
    </row>
    <row r="206" spans="1:25" ht="136.5" customHeight="1">
      <c r="A206" s="296"/>
      <c r="B206" s="297"/>
      <c r="C206" s="296"/>
      <c r="D206" s="291"/>
      <c r="E206" s="36" t="s">
        <v>622</v>
      </c>
      <c r="F206" s="36"/>
      <c r="G206" s="36"/>
      <c r="H206" s="36"/>
      <c r="I206" s="224">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7"/>
        <v>0</v>
      </c>
    </row>
    <row r="207" spans="1:25" ht="18.75">
      <c r="A207" s="298" t="s">
        <v>1062</v>
      </c>
      <c r="B207" s="293" t="s">
        <v>511</v>
      </c>
      <c r="C207" s="298" t="s">
        <v>1127</v>
      </c>
      <c r="D207" s="291" t="s">
        <v>1063</v>
      </c>
      <c r="E207" s="28"/>
      <c r="F207" s="28"/>
      <c r="G207" s="28"/>
      <c r="H207" s="28"/>
      <c r="I207" s="226"/>
      <c r="J207" s="79">
        <f>SUM(J208:J212)</f>
        <v>842000</v>
      </c>
      <c r="K207" s="79">
        <f aca="true" t="shared" si="29" ref="K207:X207">SUM(K208:K212)</f>
        <v>0</v>
      </c>
      <c r="L207" s="79">
        <f t="shared" si="29"/>
        <v>0</v>
      </c>
      <c r="M207" s="79">
        <f t="shared" si="29"/>
        <v>0</v>
      </c>
      <c r="N207" s="79">
        <f t="shared" si="29"/>
        <v>120000</v>
      </c>
      <c r="O207" s="79">
        <f t="shared" si="29"/>
        <v>100000</v>
      </c>
      <c r="P207" s="79">
        <f t="shared" si="29"/>
        <v>-60000</v>
      </c>
      <c r="Q207" s="79">
        <f t="shared" si="29"/>
        <v>9000</v>
      </c>
      <c r="R207" s="79">
        <f t="shared" si="29"/>
        <v>101000</v>
      </c>
      <c r="S207" s="79">
        <f t="shared" si="29"/>
        <v>252000</v>
      </c>
      <c r="T207" s="79">
        <f t="shared" si="29"/>
        <v>136000</v>
      </c>
      <c r="U207" s="79">
        <f t="shared" si="29"/>
        <v>0</v>
      </c>
      <c r="V207" s="79">
        <f t="shared" si="29"/>
        <v>184000</v>
      </c>
      <c r="W207" s="79">
        <f t="shared" si="29"/>
        <v>0</v>
      </c>
      <c r="X207" s="79">
        <f t="shared" si="29"/>
        <v>189576.38</v>
      </c>
      <c r="Y207" s="29">
        <f t="shared" si="27"/>
        <v>80423.62</v>
      </c>
    </row>
    <row r="208" spans="1:25" ht="54.75" customHeight="1">
      <c r="A208" s="298"/>
      <c r="B208" s="299"/>
      <c r="C208" s="298"/>
      <c r="D208" s="291"/>
      <c r="E208" s="28" t="s">
        <v>40</v>
      </c>
      <c r="F208" s="28"/>
      <c r="G208" s="28"/>
      <c r="H208" s="28"/>
      <c r="I208" s="226">
        <v>3110</v>
      </c>
      <c r="J208" s="47">
        <v>152000</v>
      </c>
      <c r="K208" s="29"/>
      <c r="L208" s="29"/>
      <c r="M208" s="29"/>
      <c r="N208" s="29"/>
      <c r="O208" s="29"/>
      <c r="P208" s="29"/>
      <c r="Q208" s="29"/>
      <c r="R208" s="29"/>
      <c r="S208" s="29">
        <v>152000</v>
      </c>
      <c r="T208" s="29"/>
      <c r="U208" s="29"/>
      <c r="V208" s="29"/>
      <c r="W208" s="29">
        <f t="shared" si="24"/>
        <v>0</v>
      </c>
      <c r="X208" s="29"/>
      <c r="Y208" s="29">
        <f t="shared" si="27"/>
        <v>0</v>
      </c>
    </row>
    <row r="209" spans="1:25" ht="56.25">
      <c r="A209" s="298"/>
      <c r="B209" s="299"/>
      <c r="C209" s="298"/>
      <c r="D209" s="291"/>
      <c r="E209" s="28" t="s">
        <v>847</v>
      </c>
      <c r="F209" s="28"/>
      <c r="G209" s="28"/>
      <c r="H209" s="28"/>
      <c r="I209" s="226">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7"/>
        <v>70000</v>
      </c>
    </row>
    <row r="210" spans="1:25" ht="56.25">
      <c r="A210" s="298"/>
      <c r="B210" s="299"/>
      <c r="C210" s="298"/>
      <c r="D210" s="291"/>
      <c r="E210" s="28" t="s">
        <v>623</v>
      </c>
      <c r="F210" s="105">
        <f>J210</f>
        <v>200000</v>
      </c>
      <c r="G210" s="114">
        <v>1</v>
      </c>
      <c r="H210" s="105">
        <f>J210</f>
        <v>200000</v>
      </c>
      <c r="I210" s="223">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99791.7+28321.44+25992.04+31000</f>
        <v>185105.18</v>
      </c>
      <c r="Y210" s="29">
        <f t="shared" si="27"/>
        <v>894.820000000007</v>
      </c>
    </row>
    <row r="211" spans="1:25" ht="37.5">
      <c r="A211" s="298"/>
      <c r="B211" s="299"/>
      <c r="C211" s="298"/>
      <c r="D211" s="291"/>
      <c r="E211" s="28" t="s">
        <v>624</v>
      </c>
      <c r="F211" s="105">
        <f>J211</f>
        <v>100000</v>
      </c>
      <c r="G211" s="114">
        <v>1</v>
      </c>
      <c r="H211" s="105">
        <f>J211</f>
        <v>100000</v>
      </c>
      <c r="I211" s="223">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7"/>
        <v>1000</v>
      </c>
    </row>
    <row r="212" spans="1:25" ht="37.5">
      <c r="A212" s="298"/>
      <c r="B212" s="294"/>
      <c r="C212" s="298"/>
      <c r="D212" s="291"/>
      <c r="E212" s="36" t="s">
        <v>625</v>
      </c>
      <c r="F212" s="105">
        <f>J212</f>
        <v>320000</v>
      </c>
      <c r="G212" s="114">
        <v>1</v>
      </c>
      <c r="H212" s="105">
        <f>J212</f>
        <v>320000</v>
      </c>
      <c r="I212" s="223">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7"/>
        <v>8528.8</v>
      </c>
    </row>
    <row r="213" spans="1:25" ht="18" hidden="1">
      <c r="A213" s="298" t="s">
        <v>192</v>
      </c>
      <c r="B213" s="45"/>
      <c r="C213" s="298" t="s">
        <v>193</v>
      </c>
      <c r="D213" s="291" t="s">
        <v>194</v>
      </c>
      <c r="E213" s="28"/>
      <c r="F213" s="28"/>
      <c r="G213" s="28"/>
      <c r="H213" s="28"/>
      <c r="I213" s="226"/>
      <c r="J213" s="46">
        <f>J214</f>
        <v>0</v>
      </c>
      <c r="K213" s="29"/>
      <c r="L213" s="29"/>
      <c r="M213" s="29"/>
      <c r="N213" s="29"/>
      <c r="O213" s="29"/>
      <c r="P213" s="29"/>
      <c r="Q213" s="29"/>
      <c r="R213" s="29"/>
      <c r="S213" s="29"/>
      <c r="T213" s="29"/>
      <c r="U213" s="29"/>
      <c r="V213" s="29"/>
      <c r="W213" s="29">
        <f t="shared" si="24"/>
        <v>0</v>
      </c>
      <c r="X213" s="29"/>
      <c r="Y213" s="29">
        <f t="shared" si="27"/>
        <v>0</v>
      </c>
    </row>
    <row r="214" spans="1:25" ht="18" hidden="1">
      <c r="A214" s="298"/>
      <c r="B214" s="45"/>
      <c r="C214" s="298"/>
      <c r="D214" s="291"/>
      <c r="E214" s="28"/>
      <c r="F214" s="28"/>
      <c r="G214" s="28"/>
      <c r="H214" s="28"/>
      <c r="I214" s="226"/>
      <c r="J214" s="47"/>
      <c r="K214" s="29"/>
      <c r="L214" s="29"/>
      <c r="M214" s="29"/>
      <c r="N214" s="29"/>
      <c r="O214" s="29"/>
      <c r="P214" s="29"/>
      <c r="Q214" s="29"/>
      <c r="R214" s="29"/>
      <c r="S214" s="29"/>
      <c r="T214" s="29"/>
      <c r="U214" s="29"/>
      <c r="V214" s="29"/>
      <c r="W214" s="29">
        <f t="shared" si="24"/>
        <v>0</v>
      </c>
      <c r="X214" s="29"/>
      <c r="Y214" s="29">
        <f t="shared" si="27"/>
        <v>0</v>
      </c>
    </row>
    <row r="215" spans="1:25" ht="18" hidden="1">
      <c r="A215" s="298" t="s">
        <v>195</v>
      </c>
      <c r="B215" s="45"/>
      <c r="C215" s="298" t="s">
        <v>196</v>
      </c>
      <c r="D215" s="291" t="s">
        <v>197</v>
      </c>
      <c r="E215" s="28"/>
      <c r="F215" s="28"/>
      <c r="G215" s="28"/>
      <c r="H215" s="28"/>
      <c r="I215" s="226"/>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298"/>
      <c r="B216" s="45"/>
      <c r="C216" s="298"/>
      <c r="D216" s="291"/>
      <c r="E216" s="28"/>
      <c r="F216" s="28"/>
      <c r="G216" s="28"/>
      <c r="H216" s="28"/>
      <c r="I216" s="226"/>
      <c r="J216" s="47"/>
      <c r="K216" s="29"/>
      <c r="L216" s="29"/>
      <c r="M216" s="29"/>
      <c r="N216" s="29"/>
      <c r="O216" s="29"/>
      <c r="P216" s="29"/>
      <c r="Q216" s="29"/>
      <c r="R216" s="29"/>
      <c r="S216" s="29"/>
      <c r="T216" s="29"/>
      <c r="U216" s="29"/>
      <c r="V216" s="29"/>
      <c r="W216" s="29">
        <f t="shared" si="24"/>
        <v>0</v>
      </c>
      <c r="X216" s="29"/>
      <c r="Y216" s="29">
        <f t="shared" si="27"/>
        <v>0</v>
      </c>
    </row>
    <row r="217" spans="1:25" ht="18" hidden="1">
      <c r="A217" s="298" t="s">
        <v>198</v>
      </c>
      <c r="B217" s="45"/>
      <c r="C217" s="298" t="s">
        <v>199</v>
      </c>
      <c r="D217" s="291" t="s">
        <v>868</v>
      </c>
      <c r="E217" s="28"/>
      <c r="F217" s="28"/>
      <c r="G217" s="28"/>
      <c r="H217" s="28"/>
      <c r="I217" s="226"/>
      <c r="J217" s="46">
        <f>SUM(J218)</f>
        <v>0</v>
      </c>
      <c r="K217" s="29"/>
      <c r="L217" s="29"/>
      <c r="M217" s="29"/>
      <c r="N217" s="29"/>
      <c r="O217" s="29"/>
      <c r="P217" s="29"/>
      <c r="Q217" s="29"/>
      <c r="R217" s="29"/>
      <c r="S217" s="29"/>
      <c r="T217" s="29"/>
      <c r="U217" s="29"/>
      <c r="V217" s="29"/>
      <c r="W217" s="29">
        <f t="shared" si="24"/>
        <v>0</v>
      </c>
      <c r="X217" s="29"/>
      <c r="Y217" s="29">
        <f t="shared" si="27"/>
        <v>0</v>
      </c>
    </row>
    <row r="218" spans="1:25" ht="18" hidden="1">
      <c r="A218" s="298"/>
      <c r="B218" s="45"/>
      <c r="C218" s="298"/>
      <c r="D218" s="291"/>
      <c r="E218" s="36"/>
      <c r="F218" s="36"/>
      <c r="G218" s="36"/>
      <c r="H218" s="36"/>
      <c r="I218" s="224"/>
      <c r="J218" s="40"/>
      <c r="K218" s="29"/>
      <c r="L218" s="29"/>
      <c r="M218" s="29"/>
      <c r="N218" s="29"/>
      <c r="O218" s="29"/>
      <c r="P218" s="29"/>
      <c r="Q218" s="29"/>
      <c r="R218" s="29"/>
      <c r="S218" s="29"/>
      <c r="T218" s="29"/>
      <c r="U218" s="29"/>
      <c r="V218" s="29"/>
      <c r="W218" s="29">
        <f t="shared" si="24"/>
        <v>0</v>
      </c>
      <c r="X218" s="29"/>
      <c r="Y218" s="29">
        <f t="shared" si="27"/>
        <v>0</v>
      </c>
    </row>
    <row r="219" spans="1:25" ht="18" hidden="1">
      <c r="A219" s="293" t="s">
        <v>869</v>
      </c>
      <c r="B219" s="48"/>
      <c r="C219" s="293" t="s">
        <v>199</v>
      </c>
      <c r="D219" s="278" t="s">
        <v>518</v>
      </c>
      <c r="E219" s="28"/>
      <c r="F219" s="28"/>
      <c r="G219" s="28"/>
      <c r="H219" s="28"/>
      <c r="I219" s="226"/>
      <c r="J219" s="46">
        <f>SUM(J220:J221)</f>
        <v>0</v>
      </c>
      <c r="K219" s="29"/>
      <c r="L219" s="29"/>
      <c r="M219" s="29"/>
      <c r="N219" s="29"/>
      <c r="O219" s="29"/>
      <c r="P219" s="29"/>
      <c r="Q219" s="29"/>
      <c r="R219" s="29"/>
      <c r="S219" s="29"/>
      <c r="T219" s="29"/>
      <c r="U219" s="29"/>
      <c r="V219" s="29"/>
      <c r="W219" s="29">
        <f t="shared" si="24"/>
        <v>0</v>
      </c>
      <c r="X219" s="29"/>
      <c r="Y219" s="29">
        <f t="shared" si="27"/>
        <v>0</v>
      </c>
    </row>
    <row r="220" spans="1:25" ht="18" hidden="1">
      <c r="A220" s="299"/>
      <c r="B220" s="49"/>
      <c r="C220" s="299"/>
      <c r="D220" s="279"/>
      <c r="E220" s="50"/>
      <c r="F220" s="50"/>
      <c r="G220" s="50"/>
      <c r="H220" s="50"/>
      <c r="I220" s="252"/>
      <c r="J220" s="47"/>
      <c r="K220" s="29"/>
      <c r="L220" s="29"/>
      <c r="M220" s="29"/>
      <c r="N220" s="29"/>
      <c r="O220" s="29"/>
      <c r="P220" s="29"/>
      <c r="Q220" s="29"/>
      <c r="R220" s="29"/>
      <c r="S220" s="29"/>
      <c r="T220" s="29"/>
      <c r="U220" s="29"/>
      <c r="V220" s="29"/>
      <c r="W220" s="29">
        <f t="shared" si="24"/>
        <v>0</v>
      </c>
      <c r="X220" s="29"/>
      <c r="Y220" s="29">
        <f t="shared" si="27"/>
        <v>0</v>
      </c>
    </row>
    <row r="221" spans="1:25" ht="18" hidden="1">
      <c r="A221" s="299"/>
      <c r="B221" s="49"/>
      <c r="C221" s="299"/>
      <c r="D221" s="279"/>
      <c r="E221" s="50"/>
      <c r="F221" s="50"/>
      <c r="G221" s="50"/>
      <c r="H221" s="50"/>
      <c r="I221" s="252"/>
      <c r="J221" s="47"/>
      <c r="K221" s="29"/>
      <c r="L221" s="29"/>
      <c r="M221" s="29"/>
      <c r="N221" s="29"/>
      <c r="O221" s="29"/>
      <c r="P221" s="29"/>
      <c r="Q221" s="29"/>
      <c r="R221" s="29"/>
      <c r="S221" s="29"/>
      <c r="T221" s="29"/>
      <c r="U221" s="29"/>
      <c r="V221" s="29"/>
      <c r="W221" s="29">
        <f t="shared" si="24"/>
        <v>0</v>
      </c>
      <c r="X221" s="29"/>
      <c r="Y221" s="29">
        <f t="shared" si="27"/>
        <v>0</v>
      </c>
    </row>
    <row r="222" spans="1:25" ht="18" hidden="1">
      <c r="A222" s="298" t="s">
        <v>519</v>
      </c>
      <c r="B222" s="48"/>
      <c r="C222" s="293" t="s">
        <v>199</v>
      </c>
      <c r="D222" s="278" t="s">
        <v>523</v>
      </c>
      <c r="E222" s="50"/>
      <c r="F222" s="50"/>
      <c r="G222" s="50"/>
      <c r="H222" s="50"/>
      <c r="I222" s="252"/>
      <c r="J222" s="46">
        <f>J223</f>
        <v>0</v>
      </c>
      <c r="K222" s="29"/>
      <c r="L222" s="29"/>
      <c r="M222" s="29"/>
      <c r="N222" s="29"/>
      <c r="O222" s="29"/>
      <c r="P222" s="29"/>
      <c r="Q222" s="29"/>
      <c r="R222" s="29"/>
      <c r="S222" s="29"/>
      <c r="T222" s="29"/>
      <c r="U222" s="29"/>
      <c r="V222" s="29"/>
      <c r="W222" s="29">
        <f t="shared" si="24"/>
        <v>0</v>
      </c>
      <c r="X222" s="29"/>
      <c r="Y222" s="29">
        <f t="shared" si="27"/>
        <v>0</v>
      </c>
    </row>
    <row r="223" spans="1:25" ht="18" hidden="1">
      <c r="A223" s="298"/>
      <c r="B223" s="51"/>
      <c r="C223" s="294"/>
      <c r="D223" s="292"/>
      <c r="E223" s="50"/>
      <c r="F223" s="50"/>
      <c r="G223" s="50"/>
      <c r="H223" s="50"/>
      <c r="I223" s="252"/>
      <c r="J223" s="47"/>
      <c r="K223" s="29"/>
      <c r="L223" s="29"/>
      <c r="M223" s="29"/>
      <c r="N223" s="29"/>
      <c r="O223" s="29"/>
      <c r="P223" s="29"/>
      <c r="Q223" s="29"/>
      <c r="R223" s="29"/>
      <c r="S223" s="29"/>
      <c r="T223" s="29"/>
      <c r="U223" s="29"/>
      <c r="V223" s="29"/>
      <c r="W223" s="29">
        <f t="shared" si="24"/>
        <v>0</v>
      </c>
      <c r="X223" s="29"/>
      <c r="Y223" s="29">
        <f t="shared" si="27"/>
        <v>0</v>
      </c>
    </row>
    <row r="224" spans="1:25" ht="18.75">
      <c r="A224" s="293" t="s">
        <v>483</v>
      </c>
      <c r="B224" s="293" t="s">
        <v>44</v>
      </c>
      <c r="C224" s="293" t="s">
        <v>524</v>
      </c>
      <c r="D224" s="278" t="s">
        <v>817</v>
      </c>
      <c r="E224" s="52"/>
      <c r="F224" s="52"/>
      <c r="G224" s="52"/>
      <c r="H224" s="52"/>
      <c r="I224" s="253"/>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7"/>
        <v>60000</v>
      </c>
    </row>
    <row r="225" spans="1:25" ht="36" hidden="1">
      <c r="A225" s="299"/>
      <c r="B225" s="299"/>
      <c r="C225" s="299"/>
      <c r="D225" s="279"/>
      <c r="E225" s="28" t="s">
        <v>626</v>
      </c>
      <c r="F225" s="105">
        <f>J225</f>
        <v>0</v>
      </c>
      <c r="G225" s="114">
        <v>1</v>
      </c>
      <c r="H225" s="105">
        <f>J225</f>
        <v>0</v>
      </c>
      <c r="I225" s="223">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7"/>
        <v>0</v>
      </c>
    </row>
    <row r="226" spans="1:25" ht="56.25">
      <c r="A226" s="299"/>
      <c r="B226" s="294"/>
      <c r="C226" s="299"/>
      <c r="D226" s="279"/>
      <c r="E226" s="28" t="s">
        <v>222</v>
      </c>
      <c r="F226" s="105">
        <f>J226</f>
        <v>120000</v>
      </c>
      <c r="G226" s="114">
        <v>1</v>
      </c>
      <c r="H226" s="105">
        <f>J226</f>
        <v>120000</v>
      </c>
      <c r="I226" s="223">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7"/>
        <v>60000</v>
      </c>
    </row>
    <row r="227" spans="1:25" ht="18" hidden="1">
      <c r="A227" s="289" t="s">
        <v>525</v>
      </c>
      <c r="B227" s="41"/>
      <c r="C227" s="289" t="s">
        <v>526</v>
      </c>
      <c r="D227" s="278" t="s">
        <v>527</v>
      </c>
      <c r="E227" s="36"/>
      <c r="F227" s="36"/>
      <c r="G227" s="36"/>
      <c r="H227" s="36"/>
      <c r="I227" s="224"/>
      <c r="J227" s="39">
        <f>SUM(J228:J229)</f>
        <v>0</v>
      </c>
      <c r="K227" s="29"/>
      <c r="L227" s="29"/>
      <c r="M227" s="29"/>
      <c r="N227" s="29"/>
      <c r="O227" s="29"/>
      <c r="P227" s="29"/>
      <c r="Q227" s="29"/>
      <c r="R227" s="29"/>
      <c r="S227" s="29"/>
      <c r="T227" s="29"/>
      <c r="U227" s="29"/>
      <c r="V227" s="29"/>
      <c r="W227" s="29">
        <f t="shared" si="31"/>
        <v>0</v>
      </c>
      <c r="X227" s="29"/>
      <c r="Y227" s="29">
        <f t="shared" si="27"/>
        <v>0</v>
      </c>
    </row>
    <row r="228" spans="1:25" ht="18" hidden="1">
      <c r="A228" s="290"/>
      <c r="B228" s="42"/>
      <c r="C228" s="290"/>
      <c r="D228" s="279"/>
      <c r="E228" s="36"/>
      <c r="F228" s="36"/>
      <c r="G228" s="36"/>
      <c r="H228" s="36"/>
      <c r="I228" s="224"/>
      <c r="J228" s="40"/>
      <c r="K228" s="29"/>
      <c r="L228" s="29"/>
      <c r="M228" s="29"/>
      <c r="N228" s="29"/>
      <c r="O228" s="29"/>
      <c r="P228" s="29"/>
      <c r="Q228" s="29"/>
      <c r="R228" s="29"/>
      <c r="S228" s="29"/>
      <c r="T228" s="29"/>
      <c r="U228" s="29"/>
      <c r="V228" s="29"/>
      <c r="W228" s="29">
        <f t="shared" si="31"/>
        <v>0</v>
      </c>
      <c r="X228" s="29"/>
      <c r="Y228" s="29">
        <f t="shared" si="27"/>
        <v>0</v>
      </c>
    </row>
    <row r="229" spans="1:25" ht="18" hidden="1">
      <c r="A229" s="290"/>
      <c r="B229" s="42"/>
      <c r="C229" s="290"/>
      <c r="D229" s="279"/>
      <c r="E229" s="50"/>
      <c r="F229" s="50"/>
      <c r="G229" s="50"/>
      <c r="H229" s="50"/>
      <c r="I229" s="252"/>
      <c r="J229" s="47"/>
      <c r="K229" s="29"/>
      <c r="L229" s="29"/>
      <c r="M229" s="29"/>
      <c r="N229" s="29"/>
      <c r="O229" s="29"/>
      <c r="P229" s="29"/>
      <c r="Q229" s="29"/>
      <c r="R229" s="29"/>
      <c r="S229" s="29"/>
      <c r="T229" s="29"/>
      <c r="U229" s="29"/>
      <c r="V229" s="29"/>
      <c r="W229" s="29">
        <f t="shared" si="31"/>
        <v>0</v>
      </c>
      <c r="X229" s="29"/>
      <c r="Y229" s="29">
        <f t="shared" si="27"/>
        <v>0</v>
      </c>
    </row>
    <row r="230" spans="1:25" ht="18" hidden="1">
      <c r="A230" s="296" t="s">
        <v>528</v>
      </c>
      <c r="B230" s="44"/>
      <c r="C230" s="298" t="s">
        <v>526</v>
      </c>
      <c r="D230" s="291" t="s">
        <v>128</v>
      </c>
      <c r="E230" s="52"/>
      <c r="F230" s="52"/>
      <c r="G230" s="52"/>
      <c r="H230" s="52"/>
      <c r="I230" s="253"/>
      <c r="J230" s="53">
        <f>SUM(J231:J232)</f>
        <v>0</v>
      </c>
      <c r="K230" s="29"/>
      <c r="L230" s="29"/>
      <c r="M230" s="29"/>
      <c r="N230" s="29"/>
      <c r="O230" s="29"/>
      <c r="P230" s="29"/>
      <c r="Q230" s="29"/>
      <c r="R230" s="29"/>
      <c r="S230" s="29"/>
      <c r="T230" s="29"/>
      <c r="U230" s="29"/>
      <c r="V230" s="29"/>
      <c r="W230" s="29">
        <f t="shared" si="31"/>
        <v>0</v>
      </c>
      <c r="X230" s="29"/>
      <c r="Y230" s="29">
        <f t="shared" si="27"/>
        <v>0</v>
      </c>
    </row>
    <row r="231" spans="1:25" ht="18" hidden="1">
      <c r="A231" s="296"/>
      <c r="B231" s="44"/>
      <c r="C231" s="298"/>
      <c r="D231" s="291"/>
      <c r="E231" s="52"/>
      <c r="F231" s="52"/>
      <c r="G231" s="52"/>
      <c r="H231" s="52"/>
      <c r="I231" s="253"/>
      <c r="J231" s="54"/>
      <c r="K231" s="29"/>
      <c r="L231" s="29"/>
      <c r="M231" s="29"/>
      <c r="N231" s="29"/>
      <c r="O231" s="29"/>
      <c r="P231" s="29"/>
      <c r="Q231" s="29"/>
      <c r="R231" s="29"/>
      <c r="S231" s="29"/>
      <c r="T231" s="29"/>
      <c r="U231" s="29"/>
      <c r="V231" s="29"/>
      <c r="W231" s="29">
        <f t="shared" si="31"/>
        <v>0</v>
      </c>
      <c r="X231" s="29"/>
      <c r="Y231" s="29">
        <f t="shared" si="27"/>
        <v>0</v>
      </c>
    </row>
    <row r="232" spans="1:25" ht="18" hidden="1">
      <c r="A232" s="296"/>
      <c r="B232" s="44"/>
      <c r="C232" s="298"/>
      <c r="D232" s="291"/>
      <c r="E232" s="52"/>
      <c r="F232" s="52"/>
      <c r="G232" s="52"/>
      <c r="H232" s="52"/>
      <c r="I232" s="253"/>
      <c r="J232" s="54"/>
      <c r="K232" s="29"/>
      <c r="L232" s="29"/>
      <c r="M232" s="29"/>
      <c r="N232" s="29"/>
      <c r="O232" s="29"/>
      <c r="P232" s="29"/>
      <c r="Q232" s="29"/>
      <c r="R232" s="29"/>
      <c r="S232" s="29"/>
      <c r="T232" s="29"/>
      <c r="U232" s="29"/>
      <c r="V232" s="29"/>
      <c r="W232" s="29">
        <f t="shared" si="31"/>
        <v>0</v>
      </c>
      <c r="X232" s="29"/>
      <c r="Y232" s="29">
        <f t="shared" si="27"/>
        <v>0</v>
      </c>
    </row>
    <row r="233" spans="1:25" ht="18.75">
      <c r="A233" s="293" t="s">
        <v>484</v>
      </c>
      <c r="B233" s="293" t="s">
        <v>1104</v>
      </c>
      <c r="C233" s="293" t="s">
        <v>129</v>
      </c>
      <c r="D233" s="278" t="s">
        <v>447</v>
      </c>
      <c r="E233" s="55"/>
      <c r="F233" s="55"/>
      <c r="G233" s="55"/>
      <c r="H233" s="55"/>
      <c r="I233" s="254"/>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33990</v>
      </c>
      <c r="Y233" s="29">
        <f t="shared" si="27"/>
        <v>100010</v>
      </c>
    </row>
    <row r="234" spans="1:25" ht="75">
      <c r="A234" s="299"/>
      <c r="B234" s="299"/>
      <c r="C234" s="299"/>
      <c r="D234" s="279"/>
      <c r="E234" s="52" t="s">
        <v>41</v>
      </c>
      <c r="F234" s="55"/>
      <c r="G234" s="55"/>
      <c r="H234" s="55"/>
      <c r="I234" s="253">
        <v>3110</v>
      </c>
      <c r="J234" s="54">
        <f>20000+14000</f>
        <v>34000</v>
      </c>
      <c r="K234" s="29"/>
      <c r="L234" s="29"/>
      <c r="M234" s="29"/>
      <c r="N234" s="29"/>
      <c r="O234" s="29"/>
      <c r="P234" s="29"/>
      <c r="Q234" s="29">
        <v>34000</v>
      </c>
      <c r="R234" s="29"/>
      <c r="S234" s="29">
        <f>20000+14000-34000</f>
        <v>0</v>
      </c>
      <c r="T234" s="29"/>
      <c r="U234" s="29"/>
      <c r="V234" s="29"/>
      <c r="W234" s="29">
        <f t="shared" si="31"/>
        <v>0</v>
      </c>
      <c r="X234" s="29">
        <f>33990</f>
        <v>33990</v>
      </c>
      <c r="Y234" s="29">
        <f t="shared" si="27"/>
        <v>10</v>
      </c>
    </row>
    <row r="235" spans="1:25" ht="75">
      <c r="A235" s="49"/>
      <c r="B235" s="49"/>
      <c r="C235" s="49"/>
      <c r="D235" s="273"/>
      <c r="E235" s="52" t="s">
        <v>849</v>
      </c>
      <c r="F235" s="55"/>
      <c r="G235" s="55"/>
      <c r="H235" s="55"/>
      <c r="I235" s="253">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7"/>
        <v>100000</v>
      </c>
    </row>
    <row r="236" spans="1:25" ht="18.75">
      <c r="A236" s="289" t="s">
        <v>448</v>
      </c>
      <c r="B236" s="289" t="s">
        <v>45</v>
      </c>
      <c r="C236" s="289" t="s">
        <v>1127</v>
      </c>
      <c r="D236" s="278" t="s">
        <v>130</v>
      </c>
      <c r="E236" s="36"/>
      <c r="F236" s="36"/>
      <c r="G236" s="36"/>
      <c r="H236" s="36"/>
      <c r="I236" s="224"/>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7"/>
        <v>726004.5</v>
      </c>
    </row>
    <row r="237" spans="1:25" ht="37.5">
      <c r="A237" s="290"/>
      <c r="B237" s="290"/>
      <c r="C237" s="290"/>
      <c r="D237" s="279"/>
      <c r="E237" s="36" t="s">
        <v>223</v>
      </c>
      <c r="F237" s="36"/>
      <c r="G237" s="36"/>
      <c r="H237" s="36"/>
      <c r="I237" s="224">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7"/>
        <v>0</v>
      </c>
    </row>
    <row r="238" spans="1:25" ht="36" customHeight="1" hidden="1">
      <c r="A238" s="290"/>
      <c r="B238" s="290"/>
      <c r="C238" s="290"/>
      <c r="D238" s="279"/>
      <c r="E238" s="36" t="s">
        <v>224</v>
      </c>
      <c r="F238" s="105">
        <f>J238</f>
        <v>0</v>
      </c>
      <c r="G238" s="114">
        <v>1</v>
      </c>
      <c r="H238" s="105">
        <f aca="true" t="shared" si="34" ref="H238:H245">J238</f>
        <v>0</v>
      </c>
      <c r="I238" s="223">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7"/>
        <v>0</v>
      </c>
    </row>
    <row r="239" spans="1:25" ht="36" hidden="1">
      <c r="A239" s="290"/>
      <c r="B239" s="290"/>
      <c r="C239" s="290"/>
      <c r="D239" s="279"/>
      <c r="E239" s="36" t="s">
        <v>225</v>
      </c>
      <c r="F239" s="105">
        <f aca="true" t="shared" si="35" ref="F239:F245">J239</f>
        <v>0</v>
      </c>
      <c r="G239" s="114">
        <v>1</v>
      </c>
      <c r="H239" s="105">
        <f t="shared" si="34"/>
        <v>0</v>
      </c>
      <c r="I239" s="223">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7"/>
        <v>0</v>
      </c>
    </row>
    <row r="240" spans="1:25" ht="44.25" customHeight="1" hidden="1">
      <c r="A240" s="290"/>
      <c r="B240" s="290"/>
      <c r="C240" s="290"/>
      <c r="D240" s="279"/>
      <c r="E240" s="36" t="s">
        <v>226</v>
      </c>
      <c r="F240" s="105">
        <f t="shared" si="35"/>
        <v>0</v>
      </c>
      <c r="G240" s="114">
        <v>1</v>
      </c>
      <c r="H240" s="105">
        <f t="shared" si="34"/>
        <v>0</v>
      </c>
      <c r="I240" s="223">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7"/>
        <v>0</v>
      </c>
    </row>
    <row r="241" spans="1:25" ht="44.25" customHeight="1">
      <c r="A241" s="290"/>
      <c r="B241" s="290"/>
      <c r="C241" s="290"/>
      <c r="D241" s="279"/>
      <c r="E241" s="36" t="s">
        <v>848</v>
      </c>
      <c r="F241" s="105"/>
      <c r="G241" s="114"/>
      <c r="H241" s="105"/>
      <c r="I241" s="223">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7"/>
        <v>103000</v>
      </c>
    </row>
    <row r="242" spans="1:25" ht="37.5">
      <c r="A242" s="290"/>
      <c r="B242" s="290"/>
      <c r="C242" s="290"/>
      <c r="D242" s="279"/>
      <c r="E242" s="36" t="s">
        <v>227</v>
      </c>
      <c r="F242" s="105">
        <f t="shared" si="35"/>
        <v>410600</v>
      </c>
      <c r="G242" s="114">
        <v>1</v>
      </c>
      <c r="H242" s="105">
        <f t="shared" si="34"/>
        <v>410600</v>
      </c>
      <c r="I242" s="223">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7"/>
        <v>200600</v>
      </c>
    </row>
    <row r="243" spans="1:25" ht="75">
      <c r="A243" s="290"/>
      <c r="B243" s="290"/>
      <c r="C243" s="290"/>
      <c r="D243" s="279"/>
      <c r="E243" s="36" t="s">
        <v>386</v>
      </c>
      <c r="F243" s="105">
        <f t="shared" si="35"/>
        <v>1300000</v>
      </c>
      <c r="G243" s="114">
        <v>1</v>
      </c>
      <c r="H243" s="105">
        <f t="shared" si="34"/>
        <v>1300000</v>
      </c>
      <c r="I243" s="223">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7"/>
        <v>422404.5</v>
      </c>
    </row>
    <row r="244" spans="1:25" ht="63" customHeight="1" hidden="1">
      <c r="A244" s="290"/>
      <c r="B244" s="290"/>
      <c r="C244" s="290"/>
      <c r="D244" s="279"/>
      <c r="E244" s="36" t="s">
        <v>228</v>
      </c>
      <c r="F244" s="105">
        <f t="shared" si="35"/>
        <v>0</v>
      </c>
      <c r="G244" s="114">
        <v>1</v>
      </c>
      <c r="H244" s="105">
        <f t="shared" si="34"/>
        <v>0</v>
      </c>
      <c r="I244" s="223">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7"/>
        <v>0</v>
      </c>
    </row>
    <row r="245" spans="1:25" ht="54" hidden="1">
      <c r="A245" s="290"/>
      <c r="B245" s="297"/>
      <c r="C245" s="290"/>
      <c r="D245" s="279"/>
      <c r="E245" s="36" t="s">
        <v>229</v>
      </c>
      <c r="F245" s="105">
        <f t="shared" si="35"/>
        <v>0</v>
      </c>
      <c r="G245" s="114">
        <v>1</v>
      </c>
      <c r="H245" s="105">
        <f t="shared" si="34"/>
        <v>0</v>
      </c>
      <c r="I245" s="223">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7"/>
        <v>0</v>
      </c>
    </row>
    <row r="246" spans="1:25" ht="18" hidden="1">
      <c r="A246" s="289" t="s">
        <v>131</v>
      </c>
      <c r="B246" s="41"/>
      <c r="C246" s="289" t="s">
        <v>132</v>
      </c>
      <c r="D246" s="278" t="s">
        <v>133</v>
      </c>
      <c r="E246" s="36"/>
      <c r="F246" s="36"/>
      <c r="G246" s="36"/>
      <c r="H246" s="36"/>
      <c r="I246" s="224"/>
      <c r="J246" s="39">
        <f>SUM(J247:J247)</f>
        <v>0</v>
      </c>
      <c r="K246" s="29"/>
      <c r="L246" s="29"/>
      <c r="M246" s="29"/>
      <c r="N246" s="29"/>
      <c r="O246" s="29"/>
      <c r="P246" s="29"/>
      <c r="Q246" s="29"/>
      <c r="R246" s="29"/>
      <c r="S246" s="29"/>
      <c r="T246" s="29"/>
      <c r="U246" s="29"/>
      <c r="V246" s="29"/>
      <c r="W246" s="29">
        <f t="shared" si="31"/>
        <v>0</v>
      </c>
      <c r="X246" s="29"/>
      <c r="Y246" s="29">
        <f t="shared" si="27"/>
        <v>0</v>
      </c>
    </row>
    <row r="247" spans="1:25" ht="18" hidden="1">
      <c r="A247" s="297"/>
      <c r="B247" s="56"/>
      <c r="C247" s="297"/>
      <c r="D247" s="292"/>
      <c r="E247" s="36"/>
      <c r="F247" s="36"/>
      <c r="G247" s="36"/>
      <c r="H247" s="36"/>
      <c r="I247" s="224"/>
      <c r="J247" s="57"/>
      <c r="K247" s="29"/>
      <c r="L247" s="29"/>
      <c r="M247" s="29"/>
      <c r="N247" s="29"/>
      <c r="O247" s="29"/>
      <c r="P247" s="29"/>
      <c r="Q247" s="29"/>
      <c r="R247" s="29"/>
      <c r="S247" s="29"/>
      <c r="T247" s="29"/>
      <c r="U247" s="29"/>
      <c r="V247" s="29"/>
      <c r="W247" s="29">
        <f t="shared" si="31"/>
        <v>0</v>
      </c>
      <c r="X247" s="29"/>
      <c r="Y247" s="29">
        <f t="shared" si="27"/>
        <v>0</v>
      </c>
    </row>
    <row r="248" spans="1:25" ht="18.75" customHeight="1">
      <c r="A248" s="289" t="s">
        <v>1150</v>
      </c>
      <c r="B248" s="289" t="s">
        <v>46</v>
      </c>
      <c r="C248" s="289" t="s">
        <v>134</v>
      </c>
      <c r="D248" s="278" t="s">
        <v>449</v>
      </c>
      <c r="E248" s="36"/>
      <c r="F248" s="36"/>
      <c r="G248" s="36"/>
      <c r="H248" s="36"/>
      <c r="I248" s="224"/>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7"/>
        <v>4690509.58</v>
      </c>
    </row>
    <row r="249" spans="1:25" ht="37.5">
      <c r="A249" s="290"/>
      <c r="B249" s="290"/>
      <c r="C249" s="290"/>
      <c r="D249" s="279"/>
      <c r="E249" s="36" t="s">
        <v>801</v>
      </c>
      <c r="F249" s="36"/>
      <c r="G249" s="36"/>
      <c r="H249" s="36"/>
      <c r="I249" s="224">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7"/>
        <v>880000</v>
      </c>
    </row>
    <row r="250" spans="1:25" ht="112.5">
      <c r="A250" s="290"/>
      <c r="B250" s="290"/>
      <c r="C250" s="290"/>
      <c r="D250" s="279"/>
      <c r="E250" s="36" t="s">
        <v>119</v>
      </c>
      <c r="F250" s="36"/>
      <c r="G250" s="36"/>
      <c r="H250" s="36"/>
      <c r="I250" s="224">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7"/>
        <v>3759000</v>
      </c>
    </row>
    <row r="251" spans="1:25" ht="37.5">
      <c r="A251" s="290"/>
      <c r="B251" s="290"/>
      <c r="C251" s="290"/>
      <c r="D251" s="279"/>
      <c r="E251" s="36" t="s">
        <v>947</v>
      </c>
      <c r="F251" s="36"/>
      <c r="G251" s="36"/>
      <c r="H251" s="36"/>
      <c r="I251" s="224">
        <v>3110</v>
      </c>
      <c r="J251" s="40">
        <v>150000</v>
      </c>
      <c r="K251" s="29"/>
      <c r="L251" s="29"/>
      <c r="M251" s="29"/>
      <c r="N251" s="29"/>
      <c r="O251" s="29"/>
      <c r="P251" s="29"/>
      <c r="Q251" s="29"/>
      <c r="R251" s="29"/>
      <c r="S251" s="40">
        <v>50000</v>
      </c>
      <c r="T251" s="29"/>
      <c r="U251" s="29">
        <v>100000</v>
      </c>
      <c r="V251" s="29"/>
      <c r="W251" s="29">
        <f t="shared" si="31"/>
        <v>0</v>
      </c>
      <c r="X251" s="29"/>
      <c r="Y251" s="29">
        <f t="shared" si="27"/>
        <v>0</v>
      </c>
    </row>
    <row r="252" spans="1:25" ht="75">
      <c r="A252" s="290"/>
      <c r="B252" s="290"/>
      <c r="C252" s="290"/>
      <c r="D252" s="279"/>
      <c r="E252" s="36" t="s">
        <v>802</v>
      </c>
      <c r="F252" s="105">
        <f>J252</f>
        <v>1000000</v>
      </c>
      <c r="G252" s="114">
        <v>1</v>
      </c>
      <c r="H252" s="105">
        <f>J252</f>
        <v>1000000</v>
      </c>
      <c r="I252" s="223">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7"/>
        <v>0</v>
      </c>
    </row>
    <row r="253" spans="1:25" ht="75">
      <c r="A253" s="290"/>
      <c r="B253" s="290"/>
      <c r="C253" s="290"/>
      <c r="D253" s="279"/>
      <c r="E253" s="52" t="s">
        <v>3</v>
      </c>
      <c r="F253" s="105">
        <f>J253</f>
        <v>2950000</v>
      </c>
      <c r="G253" s="114">
        <v>1</v>
      </c>
      <c r="H253" s="105">
        <f>J253</f>
        <v>2950000</v>
      </c>
      <c r="I253" s="223">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7"/>
        <v>44050.299999999814</v>
      </c>
    </row>
    <row r="254" spans="1:25" ht="112.5">
      <c r="A254" s="290"/>
      <c r="B254" s="290"/>
      <c r="C254" s="290"/>
      <c r="D254" s="279"/>
      <c r="E254" s="173" t="s">
        <v>948</v>
      </c>
      <c r="F254" s="105">
        <f>J254</f>
        <v>150000</v>
      </c>
      <c r="G254" s="114">
        <v>1</v>
      </c>
      <c r="H254" s="105">
        <f>J254</f>
        <v>150000</v>
      </c>
      <c r="I254" s="223">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7"/>
        <v>6959.720000000001</v>
      </c>
    </row>
    <row r="255" spans="1:25" ht="56.25">
      <c r="A255" s="297"/>
      <c r="B255" s="297"/>
      <c r="C255" s="297"/>
      <c r="D255" s="292"/>
      <c r="E255" s="43" t="s">
        <v>111</v>
      </c>
      <c r="F255" s="105">
        <f>J255</f>
        <v>250000</v>
      </c>
      <c r="G255" s="114">
        <v>1</v>
      </c>
      <c r="H255" s="105">
        <f>J255</f>
        <v>250000</v>
      </c>
      <c r="I255" s="223">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7"/>
        <v>499.5599999999977</v>
      </c>
    </row>
    <row r="256" spans="1:25" ht="18.75">
      <c r="A256" s="289" t="s">
        <v>1151</v>
      </c>
      <c r="B256" s="289" t="s">
        <v>47</v>
      </c>
      <c r="C256" s="289" t="s">
        <v>134</v>
      </c>
      <c r="D256" s="278" t="s">
        <v>754</v>
      </c>
      <c r="E256" s="36"/>
      <c r="F256" s="36"/>
      <c r="G256" s="36"/>
      <c r="H256" s="36"/>
      <c r="I256" s="224"/>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7"/>
        <v>0</v>
      </c>
    </row>
    <row r="257" spans="1:25" ht="75">
      <c r="A257" s="290"/>
      <c r="B257" s="290"/>
      <c r="C257" s="290"/>
      <c r="D257" s="279"/>
      <c r="E257" s="52" t="s">
        <v>26</v>
      </c>
      <c r="F257" s="52"/>
      <c r="G257" s="52"/>
      <c r="H257" s="52"/>
      <c r="I257" s="253">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7"/>
        <v>0</v>
      </c>
    </row>
    <row r="258" spans="1:25" ht="18" hidden="1">
      <c r="A258" s="290"/>
      <c r="B258" s="42"/>
      <c r="C258" s="290"/>
      <c r="D258" s="279"/>
      <c r="E258" s="52"/>
      <c r="F258" s="52"/>
      <c r="G258" s="52"/>
      <c r="H258" s="52"/>
      <c r="I258" s="253"/>
      <c r="J258" s="40"/>
      <c r="K258" s="29"/>
      <c r="L258" s="29"/>
      <c r="M258" s="29"/>
      <c r="N258" s="29"/>
      <c r="O258" s="29"/>
      <c r="P258" s="29"/>
      <c r="Q258" s="29"/>
      <c r="R258" s="29"/>
      <c r="S258" s="29"/>
      <c r="T258" s="29"/>
      <c r="U258" s="29"/>
      <c r="V258" s="29"/>
      <c r="W258" s="29">
        <f t="shared" si="31"/>
        <v>0</v>
      </c>
      <c r="X258" s="29"/>
      <c r="Y258" s="29">
        <f t="shared" si="27"/>
        <v>0</v>
      </c>
    </row>
    <row r="259" spans="1:25" ht="18" hidden="1">
      <c r="A259" s="290"/>
      <c r="B259" s="42"/>
      <c r="C259" s="290"/>
      <c r="D259" s="279"/>
      <c r="E259" s="52"/>
      <c r="F259" s="52"/>
      <c r="G259" s="52"/>
      <c r="H259" s="52"/>
      <c r="I259" s="253"/>
      <c r="J259" s="40"/>
      <c r="K259" s="29"/>
      <c r="L259" s="29"/>
      <c r="M259" s="29"/>
      <c r="N259" s="29"/>
      <c r="O259" s="29"/>
      <c r="P259" s="29"/>
      <c r="Q259" s="29"/>
      <c r="R259" s="29"/>
      <c r="S259" s="29"/>
      <c r="T259" s="29"/>
      <c r="U259" s="29"/>
      <c r="V259" s="29"/>
      <c r="W259" s="29">
        <f t="shared" si="31"/>
        <v>0</v>
      </c>
      <c r="X259" s="29"/>
      <c r="Y259" s="29">
        <f t="shared" si="27"/>
        <v>0</v>
      </c>
    </row>
    <row r="260" spans="1:25" ht="18.75">
      <c r="A260" s="289" t="s">
        <v>48</v>
      </c>
      <c r="B260" s="289" t="s">
        <v>760</v>
      </c>
      <c r="C260" s="289" t="s">
        <v>280</v>
      </c>
      <c r="D260" s="278" t="s">
        <v>1156</v>
      </c>
      <c r="E260" s="36"/>
      <c r="F260" s="36"/>
      <c r="G260" s="36"/>
      <c r="H260" s="36"/>
      <c r="I260" s="224"/>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18838047.560000002</v>
      </c>
      <c r="Y260" s="29">
        <f t="shared" si="27"/>
        <v>4832735.339999996</v>
      </c>
    </row>
    <row r="261" spans="1:25" ht="37.5">
      <c r="A261" s="290"/>
      <c r="B261" s="290"/>
      <c r="C261" s="290"/>
      <c r="D261" s="279"/>
      <c r="E261" s="36" t="s">
        <v>27</v>
      </c>
      <c r="F261" s="105">
        <f>J261</f>
        <v>1470000</v>
      </c>
      <c r="G261" s="114">
        <v>1</v>
      </c>
      <c r="H261" s="105">
        <f aca="true" t="shared" si="39" ref="H261:H349">J261</f>
        <v>1470000</v>
      </c>
      <c r="I261" s="223">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7"/>
        <v>608.6999999999534</v>
      </c>
    </row>
    <row r="262" spans="1:25" ht="23.25" customHeight="1">
      <c r="A262" s="290"/>
      <c r="B262" s="290"/>
      <c r="C262" s="290"/>
      <c r="D262" s="279"/>
      <c r="E262" s="36" t="s">
        <v>93</v>
      </c>
      <c r="F262" s="105">
        <f>J262</f>
        <v>100000</v>
      </c>
      <c r="G262" s="114">
        <v>1</v>
      </c>
      <c r="H262" s="105">
        <f>J262</f>
        <v>100000</v>
      </c>
      <c r="I262" s="223">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aca="true" t="shared" si="40" ref="Y262:Y325">K262+L262+M262+N262+O262+P262+Q262+R262-X262</f>
        <v>897.5</v>
      </c>
    </row>
    <row r="263" spans="1:25" ht="24.75" customHeight="1">
      <c r="A263" s="290"/>
      <c r="B263" s="290"/>
      <c r="C263" s="290"/>
      <c r="D263" s="279"/>
      <c r="E263" s="36" t="s">
        <v>764</v>
      </c>
      <c r="F263" s="160">
        <f>J263</f>
        <v>750000</v>
      </c>
      <c r="G263" s="114">
        <v>1</v>
      </c>
      <c r="H263" s="160">
        <f>J263</f>
        <v>750000</v>
      </c>
      <c r="I263" s="232">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40"/>
        <v>210</v>
      </c>
    </row>
    <row r="264" spans="1:25" ht="22.5" customHeight="1">
      <c r="A264" s="290"/>
      <c r="B264" s="290"/>
      <c r="C264" s="290"/>
      <c r="D264" s="279"/>
      <c r="E264" s="36" t="s">
        <v>28</v>
      </c>
      <c r="F264" s="105">
        <f aca="true" t="shared" si="41" ref="F264:F320">J264</f>
        <v>700000</v>
      </c>
      <c r="G264" s="114">
        <v>1</v>
      </c>
      <c r="H264" s="105">
        <f t="shared" si="39"/>
        <v>700000</v>
      </c>
      <c r="I264" s="223">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40"/>
        <v>100000</v>
      </c>
    </row>
    <row r="265" spans="1:25" ht="22.5" customHeight="1">
      <c r="A265" s="290"/>
      <c r="B265" s="290"/>
      <c r="C265" s="290"/>
      <c r="D265" s="279"/>
      <c r="E265" s="36" t="s">
        <v>29</v>
      </c>
      <c r="F265" s="105">
        <f t="shared" si="41"/>
        <v>1470000</v>
      </c>
      <c r="G265" s="114">
        <v>1</v>
      </c>
      <c r="H265" s="105">
        <f t="shared" si="39"/>
        <v>1470000</v>
      </c>
      <c r="I265" s="223">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40"/>
        <v>756.5</v>
      </c>
    </row>
    <row r="266" spans="1:25" ht="22.5" customHeight="1">
      <c r="A266" s="290"/>
      <c r="B266" s="290"/>
      <c r="C266" s="290"/>
      <c r="D266" s="279"/>
      <c r="E266" s="36" t="s">
        <v>823</v>
      </c>
      <c r="F266" s="105">
        <f t="shared" si="41"/>
        <v>995000</v>
      </c>
      <c r="G266" s="114"/>
      <c r="H266" s="105">
        <f t="shared" si="39"/>
        <v>995000</v>
      </c>
      <c r="I266" s="223">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40"/>
        <v>0</v>
      </c>
    </row>
    <row r="267" spans="1:25" ht="37.5">
      <c r="A267" s="290"/>
      <c r="B267" s="290"/>
      <c r="C267" s="290"/>
      <c r="D267" s="279"/>
      <c r="E267" s="36" t="s">
        <v>578</v>
      </c>
      <c r="F267" s="105">
        <f t="shared" si="41"/>
        <v>57600</v>
      </c>
      <c r="G267" s="114">
        <v>1</v>
      </c>
      <c r="H267" s="105">
        <f t="shared" si="39"/>
        <v>57600</v>
      </c>
      <c r="I267" s="232">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40"/>
        <v>0</v>
      </c>
    </row>
    <row r="268" spans="1:25" ht="37.5">
      <c r="A268" s="290"/>
      <c r="B268" s="290"/>
      <c r="C268" s="290"/>
      <c r="D268" s="279"/>
      <c r="E268" s="36" t="s">
        <v>30</v>
      </c>
      <c r="F268" s="105">
        <f t="shared" si="41"/>
        <v>1470000</v>
      </c>
      <c r="G268" s="114">
        <v>1</v>
      </c>
      <c r="H268" s="105">
        <f t="shared" si="39"/>
        <v>1470000</v>
      </c>
      <c r="I268" s="223">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40"/>
        <v>313.03000000002794</v>
      </c>
    </row>
    <row r="269" spans="1:25" ht="37.5">
      <c r="A269" s="290"/>
      <c r="B269" s="290"/>
      <c r="C269" s="290"/>
      <c r="D269" s="279"/>
      <c r="E269" s="36" t="s">
        <v>1161</v>
      </c>
      <c r="F269" s="105">
        <f t="shared" si="41"/>
        <v>1500000</v>
      </c>
      <c r="G269" s="114">
        <v>1</v>
      </c>
      <c r="H269" s="105">
        <f t="shared" si="39"/>
        <v>1500000</v>
      </c>
      <c r="I269" s="223">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v>25500</v>
      </c>
      <c r="Y269" s="29">
        <f t="shared" si="40"/>
        <v>229781.37</v>
      </c>
    </row>
    <row r="270" spans="1:25" ht="37.5">
      <c r="A270" s="290"/>
      <c r="B270" s="290"/>
      <c r="C270" s="290"/>
      <c r="D270" s="279"/>
      <c r="E270" s="36" t="s">
        <v>850</v>
      </c>
      <c r="F270" s="105">
        <f t="shared" si="41"/>
        <v>865000</v>
      </c>
      <c r="G270" s="114"/>
      <c r="H270" s="105">
        <f t="shared" si="39"/>
        <v>865000</v>
      </c>
      <c r="I270" s="223">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v>226000</v>
      </c>
      <c r="Y270" s="29">
        <f t="shared" si="40"/>
        <v>0</v>
      </c>
    </row>
    <row r="271" spans="1:25" ht="36" hidden="1">
      <c r="A271" s="290"/>
      <c r="B271" s="290"/>
      <c r="C271" s="290"/>
      <c r="D271" s="279"/>
      <c r="E271" s="36" t="s">
        <v>112</v>
      </c>
      <c r="F271" s="105">
        <f t="shared" si="41"/>
        <v>0</v>
      </c>
      <c r="G271" s="114">
        <v>1</v>
      </c>
      <c r="H271" s="105">
        <f t="shared" si="39"/>
        <v>0</v>
      </c>
      <c r="I271" s="232">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40"/>
        <v>0</v>
      </c>
    </row>
    <row r="272" spans="1:25" ht="37.5">
      <c r="A272" s="290"/>
      <c r="B272" s="290"/>
      <c r="C272" s="290"/>
      <c r="D272" s="279"/>
      <c r="E272" s="36" t="s">
        <v>113</v>
      </c>
      <c r="F272" s="105">
        <f t="shared" si="41"/>
        <v>540000</v>
      </c>
      <c r="G272" s="114">
        <v>1</v>
      </c>
      <c r="H272" s="105">
        <f t="shared" si="39"/>
        <v>540000</v>
      </c>
      <c r="I272" s="223">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t="shared" si="40"/>
        <v>295635</v>
      </c>
    </row>
    <row r="273" spans="1:25" ht="37.5">
      <c r="A273" s="290"/>
      <c r="B273" s="290"/>
      <c r="C273" s="290"/>
      <c r="D273" s="279"/>
      <c r="E273" s="36" t="s">
        <v>114</v>
      </c>
      <c r="F273" s="105">
        <f t="shared" si="41"/>
        <v>1470000</v>
      </c>
      <c r="G273" s="114">
        <v>1</v>
      </c>
      <c r="H273" s="105">
        <f t="shared" si="39"/>
        <v>1470000</v>
      </c>
      <c r="I273" s="223">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0"/>
        <v>759.1999999999534</v>
      </c>
    </row>
    <row r="274" spans="1:25" ht="37.5">
      <c r="A274" s="290"/>
      <c r="B274" s="290"/>
      <c r="C274" s="290"/>
      <c r="D274" s="279"/>
      <c r="E274" s="36" t="s">
        <v>169</v>
      </c>
      <c r="F274" s="105">
        <f t="shared" si="41"/>
        <v>1470000</v>
      </c>
      <c r="G274" s="114">
        <v>1</v>
      </c>
      <c r="H274" s="105">
        <f t="shared" si="39"/>
        <v>1470000</v>
      </c>
      <c r="I274" s="232">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0"/>
        <v>21540.300000000047</v>
      </c>
    </row>
    <row r="275" spans="1:25" ht="37.5">
      <c r="A275" s="290"/>
      <c r="B275" s="290"/>
      <c r="C275" s="290"/>
      <c r="D275" s="279"/>
      <c r="E275" s="36" t="s">
        <v>170</v>
      </c>
      <c r="F275" s="105">
        <f t="shared" si="41"/>
        <v>900000</v>
      </c>
      <c r="G275" s="114">
        <v>1</v>
      </c>
      <c r="H275" s="105">
        <f t="shared" si="39"/>
        <v>900000</v>
      </c>
      <c r="I275" s="223">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250000+76016</f>
        <v>326016</v>
      </c>
      <c r="Y275" s="29">
        <f t="shared" si="40"/>
        <v>173984</v>
      </c>
    </row>
    <row r="276" spans="1:25" ht="37.5">
      <c r="A276" s="290"/>
      <c r="B276" s="290"/>
      <c r="C276" s="290"/>
      <c r="D276" s="279"/>
      <c r="E276" s="36" t="s">
        <v>171</v>
      </c>
      <c r="F276" s="105">
        <f t="shared" si="41"/>
        <v>1470000</v>
      </c>
      <c r="G276" s="114">
        <v>1</v>
      </c>
      <c r="H276" s="105">
        <f t="shared" si="39"/>
        <v>1470000</v>
      </c>
      <c r="I276" s="223">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0"/>
        <v>20437.5</v>
      </c>
    </row>
    <row r="277" spans="1:25" ht="27" customHeight="1">
      <c r="A277" s="290"/>
      <c r="B277" s="290"/>
      <c r="C277" s="290"/>
      <c r="D277" s="279"/>
      <c r="E277" s="36" t="s">
        <v>172</v>
      </c>
      <c r="F277" s="105">
        <f t="shared" si="41"/>
        <v>1070000</v>
      </c>
      <c r="G277" s="114">
        <v>1</v>
      </c>
      <c r="H277" s="105">
        <f t="shared" si="39"/>
        <v>1070000</v>
      </c>
      <c r="I277" s="232">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0"/>
        <v>0</v>
      </c>
    </row>
    <row r="278" spans="1:25" ht="56.25">
      <c r="A278" s="290"/>
      <c r="B278" s="290"/>
      <c r="C278" s="290"/>
      <c r="D278" s="279"/>
      <c r="E278" s="36" t="s">
        <v>173</v>
      </c>
      <c r="F278" s="105">
        <f t="shared" si="41"/>
        <v>300000</v>
      </c>
      <c r="G278" s="114">
        <v>1</v>
      </c>
      <c r="H278" s="105">
        <f t="shared" si="39"/>
        <v>300000</v>
      </c>
      <c r="I278" s="223">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0"/>
        <v>152687.26</v>
      </c>
    </row>
    <row r="279" spans="1:25" ht="56.25">
      <c r="A279" s="290"/>
      <c r="B279" s="290"/>
      <c r="C279" s="290"/>
      <c r="D279" s="279"/>
      <c r="E279" s="36" t="s">
        <v>174</v>
      </c>
      <c r="F279" s="105">
        <f t="shared" si="41"/>
        <v>1470000</v>
      </c>
      <c r="G279" s="114">
        <v>1</v>
      </c>
      <c r="H279" s="105">
        <f t="shared" si="39"/>
        <v>1470000</v>
      </c>
      <c r="I279" s="223">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0"/>
        <v>4966</v>
      </c>
    </row>
    <row r="280" spans="1:25" ht="75">
      <c r="A280" s="290"/>
      <c r="B280" s="290"/>
      <c r="C280" s="290"/>
      <c r="D280" s="279"/>
      <c r="E280" s="36" t="s">
        <v>175</v>
      </c>
      <c r="F280" s="105">
        <f t="shared" si="41"/>
        <v>1470000</v>
      </c>
      <c r="G280" s="114">
        <v>1</v>
      </c>
      <c r="H280" s="105">
        <f t="shared" si="39"/>
        <v>1470000</v>
      </c>
      <c r="I280" s="232">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0"/>
        <v>229431.91000000003</v>
      </c>
    </row>
    <row r="281" spans="1:25" ht="37.5">
      <c r="A281" s="290"/>
      <c r="B281" s="290"/>
      <c r="C281" s="290"/>
      <c r="D281" s="279"/>
      <c r="E281" s="36" t="s">
        <v>893</v>
      </c>
      <c r="F281" s="105">
        <f t="shared" si="41"/>
        <v>57900</v>
      </c>
      <c r="G281" s="114">
        <v>1</v>
      </c>
      <c r="H281" s="105">
        <f t="shared" si="39"/>
        <v>57900</v>
      </c>
      <c r="I281" s="223">
        <v>3142</v>
      </c>
      <c r="J281" s="40">
        <v>57900</v>
      </c>
      <c r="K281" s="29"/>
      <c r="L281" s="29"/>
      <c r="M281" s="29"/>
      <c r="N281" s="29"/>
      <c r="O281" s="29"/>
      <c r="P281" s="29"/>
      <c r="Q281" s="29">
        <v>2400</v>
      </c>
      <c r="R281" s="29">
        <v>55500</v>
      </c>
      <c r="S281" s="29"/>
      <c r="T281" s="29"/>
      <c r="U281" s="29"/>
      <c r="V281" s="29"/>
      <c r="W281" s="29">
        <f t="shared" si="31"/>
        <v>0</v>
      </c>
      <c r="X281" s="29">
        <f>53438.52+984.92</f>
        <v>54423.439999999995</v>
      </c>
      <c r="Y281" s="29">
        <f t="shared" si="40"/>
        <v>3476.560000000005</v>
      </c>
    </row>
    <row r="282" spans="1:25" ht="37.5">
      <c r="A282" s="290"/>
      <c r="B282" s="290"/>
      <c r="C282" s="290"/>
      <c r="D282" s="279"/>
      <c r="E282" s="36" t="s">
        <v>579</v>
      </c>
      <c r="F282" s="105">
        <f>J282</f>
        <v>1000000</v>
      </c>
      <c r="G282" s="114">
        <v>1</v>
      </c>
      <c r="H282" s="105">
        <f>J282</f>
        <v>1000000</v>
      </c>
      <c r="I282" s="223">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473307+43400</f>
        <v>516707</v>
      </c>
      <c r="Y282" s="29">
        <f t="shared" si="40"/>
        <v>33293</v>
      </c>
    </row>
    <row r="283" spans="1:25" ht="75">
      <c r="A283" s="290"/>
      <c r="B283" s="290"/>
      <c r="C283" s="290"/>
      <c r="D283" s="279"/>
      <c r="E283" s="36" t="s">
        <v>894</v>
      </c>
      <c r="F283" s="105">
        <f t="shared" si="41"/>
        <v>1470000</v>
      </c>
      <c r="G283" s="114">
        <v>1</v>
      </c>
      <c r="H283" s="105">
        <f t="shared" si="39"/>
        <v>1470000</v>
      </c>
      <c r="I283" s="232">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0"/>
        <v>300029.9</v>
      </c>
    </row>
    <row r="284" spans="1:25" ht="37.5">
      <c r="A284" s="290"/>
      <c r="B284" s="290"/>
      <c r="C284" s="290"/>
      <c r="D284" s="279"/>
      <c r="E284" s="36" t="s">
        <v>580</v>
      </c>
      <c r="F284" s="105">
        <f>J284</f>
        <v>1470000</v>
      </c>
      <c r="G284" s="114">
        <v>1</v>
      </c>
      <c r="H284" s="105">
        <f>J284</f>
        <v>1470000</v>
      </c>
      <c r="I284" s="223">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0"/>
        <v>300037</v>
      </c>
    </row>
    <row r="285" spans="1:25" ht="37.5">
      <c r="A285" s="290"/>
      <c r="B285" s="290"/>
      <c r="C285" s="290"/>
      <c r="D285" s="279"/>
      <c r="E285" s="36" t="s">
        <v>765</v>
      </c>
      <c r="F285" s="160">
        <f>J285</f>
        <v>100000</v>
      </c>
      <c r="G285" s="114">
        <v>1</v>
      </c>
      <c r="H285" s="160">
        <f>J285</f>
        <v>100000</v>
      </c>
      <c r="I285" s="223">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0"/>
        <v>3.637978807091713E-12</v>
      </c>
    </row>
    <row r="286" spans="1:25" ht="37.5">
      <c r="A286" s="290"/>
      <c r="B286" s="290"/>
      <c r="C286" s="290"/>
      <c r="D286" s="279"/>
      <c r="E286" s="36" t="s">
        <v>724</v>
      </c>
      <c r="F286" s="160"/>
      <c r="G286" s="114"/>
      <c r="H286" s="160"/>
      <c r="I286" s="223">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0"/>
        <v>200000</v>
      </c>
    </row>
    <row r="287" spans="1:25" ht="37.5">
      <c r="A287" s="290"/>
      <c r="B287" s="290"/>
      <c r="C287" s="290"/>
      <c r="D287" s="279"/>
      <c r="E287" s="36" t="s">
        <v>213</v>
      </c>
      <c r="F287" s="105">
        <f>J287</f>
        <v>480000</v>
      </c>
      <c r="G287" s="114">
        <v>1</v>
      </c>
      <c r="H287" s="105">
        <f>J287</f>
        <v>480000</v>
      </c>
      <c r="I287" s="232">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160000+24000</f>
        <v>184000</v>
      </c>
      <c r="Y287" s="29">
        <f t="shared" si="40"/>
        <v>196000</v>
      </c>
    </row>
    <row r="288" spans="1:25" ht="42" customHeight="1">
      <c r="A288" s="290"/>
      <c r="B288" s="290"/>
      <c r="C288" s="290"/>
      <c r="D288" s="279"/>
      <c r="E288" s="36" t="s">
        <v>828</v>
      </c>
      <c r="F288" s="105">
        <f t="shared" si="41"/>
        <v>1470000</v>
      </c>
      <c r="G288" s="114">
        <v>1</v>
      </c>
      <c r="H288" s="105">
        <f t="shared" si="39"/>
        <v>1470000</v>
      </c>
      <c r="I288" s="223">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0"/>
        <v>50618.80000000005</v>
      </c>
    </row>
    <row r="289" spans="1:25" ht="37.5">
      <c r="A289" s="290"/>
      <c r="B289" s="290"/>
      <c r="C289" s="290"/>
      <c r="D289" s="279"/>
      <c r="E289" s="36" t="s">
        <v>895</v>
      </c>
      <c r="F289" s="105">
        <f t="shared" si="41"/>
        <v>750000</v>
      </c>
      <c r="G289" s="114">
        <v>1</v>
      </c>
      <c r="H289" s="105">
        <f t="shared" si="39"/>
        <v>750000</v>
      </c>
      <c r="I289" s="223">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0"/>
        <v>564.6000000000058</v>
      </c>
    </row>
    <row r="290" spans="1:25" ht="37.5">
      <c r="A290" s="290"/>
      <c r="B290" s="290"/>
      <c r="C290" s="290"/>
      <c r="D290" s="279"/>
      <c r="E290" s="36" t="s">
        <v>896</v>
      </c>
      <c r="F290" s="105">
        <f t="shared" si="41"/>
        <v>1000000</v>
      </c>
      <c r="G290" s="114">
        <v>1</v>
      </c>
      <c r="H290" s="105">
        <f t="shared" si="39"/>
        <v>1000000</v>
      </c>
      <c r="I290" s="232">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0"/>
        <v>100000</v>
      </c>
    </row>
    <row r="291" spans="1:25" ht="37.5">
      <c r="A291" s="290"/>
      <c r="B291" s="290"/>
      <c r="C291" s="290"/>
      <c r="D291" s="279"/>
      <c r="E291" s="36" t="s">
        <v>897</v>
      </c>
      <c r="F291" s="105">
        <f t="shared" si="41"/>
        <v>150000</v>
      </c>
      <c r="G291" s="114">
        <v>1</v>
      </c>
      <c r="H291" s="105">
        <f t="shared" si="39"/>
        <v>150000</v>
      </c>
      <c r="I291" s="223">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0"/>
        <v>16000</v>
      </c>
    </row>
    <row r="292" spans="1:25" ht="37.5">
      <c r="A292" s="290"/>
      <c r="B292" s="290"/>
      <c r="C292" s="290"/>
      <c r="D292" s="279"/>
      <c r="E292" s="36" t="s">
        <v>898</v>
      </c>
      <c r="F292" s="105">
        <f t="shared" si="41"/>
        <v>1300000</v>
      </c>
      <c r="G292" s="114">
        <v>1</v>
      </c>
      <c r="H292" s="105">
        <f t="shared" si="39"/>
        <v>1300000</v>
      </c>
      <c r="I292" s="223">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15000+612372+35000</f>
        <v>662372</v>
      </c>
      <c r="Y292" s="29">
        <f t="shared" si="40"/>
        <v>65628</v>
      </c>
    </row>
    <row r="293" spans="1:25" ht="37.5">
      <c r="A293" s="290"/>
      <c r="B293" s="290"/>
      <c r="C293" s="290"/>
      <c r="D293" s="279"/>
      <c r="E293" s="36" t="s">
        <v>1000</v>
      </c>
      <c r="F293" s="105">
        <f t="shared" si="41"/>
        <v>500000</v>
      </c>
      <c r="G293" s="114"/>
      <c r="H293" s="105">
        <f t="shared" si="39"/>
        <v>500000</v>
      </c>
      <c r="I293" s="232">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0"/>
        <v>17759.25</v>
      </c>
    </row>
    <row r="294" spans="1:25" ht="36" hidden="1">
      <c r="A294" s="290"/>
      <c r="B294" s="290"/>
      <c r="C294" s="290"/>
      <c r="D294" s="279"/>
      <c r="E294" s="36" t="s">
        <v>56</v>
      </c>
      <c r="F294" s="105">
        <f t="shared" si="41"/>
        <v>0</v>
      </c>
      <c r="G294" s="114">
        <v>1</v>
      </c>
      <c r="H294" s="105">
        <f t="shared" si="39"/>
        <v>0</v>
      </c>
      <c r="I294" s="223">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0"/>
        <v>0</v>
      </c>
    </row>
    <row r="295" spans="1:25" ht="37.5">
      <c r="A295" s="290"/>
      <c r="B295" s="290"/>
      <c r="C295" s="290"/>
      <c r="D295" s="279"/>
      <c r="E295" s="36" t="s">
        <v>57</v>
      </c>
      <c r="F295" s="105">
        <f t="shared" si="41"/>
        <v>470000</v>
      </c>
      <c r="G295" s="114">
        <v>1</v>
      </c>
      <c r="H295" s="105">
        <f t="shared" si="39"/>
        <v>470000</v>
      </c>
      <c r="I295" s="223">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0"/>
        <v>100000</v>
      </c>
    </row>
    <row r="296" spans="1:25" ht="37.5">
      <c r="A296" s="290"/>
      <c r="B296" s="290"/>
      <c r="C296" s="290"/>
      <c r="D296" s="279"/>
      <c r="E296" s="36" t="s">
        <v>783</v>
      </c>
      <c r="F296" s="105">
        <f t="shared" si="41"/>
        <v>700000</v>
      </c>
      <c r="G296" s="114">
        <v>1</v>
      </c>
      <c r="H296" s="105">
        <f t="shared" si="39"/>
        <v>700000</v>
      </c>
      <c r="I296" s="232">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0"/>
        <v>55750.79999999999</v>
      </c>
    </row>
    <row r="297" spans="1:25" ht="18" hidden="1">
      <c r="A297" s="290"/>
      <c r="B297" s="290"/>
      <c r="C297" s="290"/>
      <c r="D297" s="279"/>
      <c r="E297" s="36" t="s">
        <v>842</v>
      </c>
      <c r="F297" s="105">
        <f t="shared" si="41"/>
        <v>0</v>
      </c>
      <c r="G297" s="114"/>
      <c r="H297" s="105">
        <f t="shared" si="39"/>
        <v>0</v>
      </c>
      <c r="I297" s="232">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0"/>
        <v>0</v>
      </c>
    </row>
    <row r="298" spans="1:25" ht="56.25">
      <c r="A298" s="290"/>
      <c r="B298" s="290"/>
      <c r="C298" s="290"/>
      <c r="D298" s="279"/>
      <c r="E298" s="36" t="s">
        <v>209</v>
      </c>
      <c r="F298" s="105"/>
      <c r="G298" s="114"/>
      <c r="H298" s="105"/>
      <c r="I298" s="232">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0"/>
        <v>210000</v>
      </c>
    </row>
    <row r="299" spans="1:25" ht="37.5">
      <c r="A299" s="290"/>
      <c r="B299" s="290"/>
      <c r="C299" s="290"/>
      <c r="D299" s="279"/>
      <c r="E299" s="36" t="s">
        <v>784</v>
      </c>
      <c r="F299" s="105">
        <f t="shared" si="41"/>
        <v>500000</v>
      </c>
      <c r="G299" s="114">
        <v>1</v>
      </c>
      <c r="H299" s="105">
        <f t="shared" si="39"/>
        <v>500000</v>
      </c>
      <c r="I299" s="223">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0"/>
        <v>0</v>
      </c>
    </row>
    <row r="300" spans="1:25" ht="36" hidden="1">
      <c r="A300" s="290"/>
      <c r="B300" s="290"/>
      <c r="C300" s="290"/>
      <c r="D300" s="279"/>
      <c r="E300" s="36" t="s">
        <v>785</v>
      </c>
      <c r="F300" s="105">
        <f t="shared" si="41"/>
        <v>0</v>
      </c>
      <c r="G300" s="114">
        <v>1</v>
      </c>
      <c r="H300" s="105">
        <f t="shared" si="39"/>
        <v>0</v>
      </c>
      <c r="I300" s="223">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0"/>
        <v>0</v>
      </c>
    </row>
    <row r="301" spans="1:25" ht="37.5">
      <c r="A301" s="290"/>
      <c r="B301" s="290"/>
      <c r="C301" s="290"/>
      <c r="D301" s="279"/>
      <c r="E301" s="36" t="s">
        <v>786</v>
      </c>
      <c r="F301" s="105">
        <f t="shared" si="41"/>
        <v>1500000</v>
      </c>
      <c r="G301" s="114">
        <v>1</v>
      </c>
      <c r="H301" s="105">
        <f t="shared" si="39"/>
        <v>1500000</v>
      </c>
      <c r="I301" s="232">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0"/>
        <v>149665</v>
      </c>
    </row>
    <row r="302" spans="1:25" ht="37.5">
      <c r="A302" s="290"/>
      <c r="B302" s="290"/>
      <c r="C302" s="290"/>
      <c r="D302" s="279"/>
      <c r="E302" s="36" t="s">
        <v>787</v>
      </c>
      <c r="F302" s="105">
        <f t="shared" si="41"/>
        <v>1470000</v>
      </c>
      <c r="G302" s="114">
        <v>1</v>
      </c>
      <c r="H302" s="105">
        <f t="shared" si="39"/>
        <v>1470000</v>
      </c>
      <c r="I302" s="223">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0"/>
        <v>12063.199999999953</v>
      </c>
    </row>
    <row r="303" spans="1:25" ht="37.5">
      <c r="A303" s="290"/>
      <c r="B303" s="290"/>
      <c r="C303" s="290"/>
      <c r="D303" s="279"/>
      <c r="E303" s="36" t="s">
        <v>214</v>
      </c>
      <c r="F303" s="105">
        <f>J303</f>
        <v>1470000</v>
      </c>
      <c r="G303" s="114">
        <v>1</v>
      </c>
      <c r="H303" s="105">
        <f>J303</f>
        <v>1470000</v>
      </c>
      <c r="I303" s="223">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0"/>
        <v>539.5999999999767</v>
      </c>
    </row>
    <row r="304" spans="1:25" ht="37.5">
      <c r="A304" s="290"/>
      <c r="B304" s="290"/>
      <c r="C304" s="290"/>
      <c r="D304" s="279"/>
      <c r="E304" s="36" t="s">
        <v>851</v>
      </c>
      <c r="F304" s="105">
        <f>J304</f>
        <v>450000</v>
      </c>
      <c r="G304" s="114"/>
      <c r="H304" s="105">
        <f>J304</f>
        <v>450000</v>
      </c>
      <c r="I304" s="223">
        <v>3142</v>
      </c>
      <c r="J304" s="40">
        <v>450000</v>
      </c>
      <c r="K304" s="29"/>
      <c r="L304" s="29"/>
      <c r="M304" s="29"/>
      <c r="N304" s="29"/>
      <c r="O304" s="29"/>
      <c r="P304" s="29"/>
      <c r="Q304" s="29"/>
      <c r="R304" s="29"/>
      <c r="S304" s="29">
        <v>450000</v>
      </c>
      <c r="T304" s="29"/>
      <c r="U304" s="29"/>
      <c r="V304" s="29"/>
      <c r="W304" s="29">
        <f t="shared" si="42"/>
        <v>0</v>
      </c>
      <c r="X304" s="29"/>
      <c r="Y304" s="29">
        <f t="shared" si="40"/>
        <v>0</v>
      </c>
    </row>
    <row r="305" spans="1:25" ht="37.5">
      <c r="A305" s="290"/>
      <c r="B305" s="290"/>
      <c r="C305" s="290"/>
      <c r="D305" s="279"/>
      <c r="E305" s="36" t="s">
        <v>788</v>
      </c>
      <c r="F305" s="105">
        <f t="shared" si="41"/>
        <v>500000</v>
      </c>
      <c r="G305" s="114">
        <v>1</v>
      </c>
      <c r="H305" s="105">
        <f t="shared" si="39"/>
        <v>500000</v>
      </c>
      <c r="I305" s="232">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0"/>
        <v>247.32000000000698</v>
      </c>
    </row>
    <row r="306" spans="1:25" ht="37.5">
      <c r="A306" s="290"/>
      <c r="B306" s="290"/>
      <c r="C306" s="290"/>
      <c r="D306" s="279"/>
      <c r="E306" s="36" t="s">
        <v>789</v>
      </c>
      <c r="F306" s="105">
        <f t="shared" si="41"/>
        <v>500000</v>
      </c>
      <c r="G306" s="114">
        <v>1</v>
      </c>
      <c r="H306" s="105">
        <f t="shared" si="39"/>
        <v>500000</v>
      </c>
      <c r="I306" s="223">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0"/>
        <v>115000</v>
      </c>
    </row>
    <row r="307" spans="1:25" ht="37.5">
      <c r="A307" s="290"/>
      <c r="B307" s="290"/>
      <c r="C307" s="290"/>
      <c r="D307" s="279"/>
      <c r="E307" s="36" t="s">
        <v>790</v>
      </c>
      <c r="F307" s="105">
        <f t="shared" si="41"/>
        <v>150000</v>
      </c>
      <c r="G307" s="114">
        <v>1</v>
      </c>
      <c r="H307" s="105">
        <f t="shared" si="39"/>
        <v>150000</v>
      </c>
      <c r="I307" s="223">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0"/>
        <v>2115.4400000000023</v>
      </c>
    </row>
    <row r="308" spans="1:25" ht="37.5">
      <c r="A308" s="290"/>
      <c r="B308" s="290"/>
      <c r="C308" s="290"/>
      <c r="D308" s="279"/>
      <c r="E308" s="36" t="s">
        <v>0</v>
      </c>
      <c r="F308" s="105">
        <f t="shared" si="41"/>
        <v>400000</v>
      </c>
      <c r="G308" s="114">
        <v>1</v>
      </c>
      <c r="H308" s="105">
        <f t="shared" si="39"/>
        <v>400000</v>
      </c>
      <c r="I308" s="232">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0"/>
        <v>102000</v>
      </c>
    </row>
    <row r="309" spans="1:25" ht="37.5">
      <c r="A309" s="290"/>
      <c r="B309" s="290"/>
      <c r="C309" s="290"/>
      <c r="D309" s="279"/>
      <c r="E309" s="36" t="s">
        <v>886</v>
      </c>
      <c r="F309" s="105">
        <f t="shared" si="41"/>
        <v>200000</v>
      </c>
      <c r="G309" s="114">
        <v>1</v>
      </c>
      <c r="H309" s="105">
        <f t="shared" si="39"/>
        <v>200000</v>
      </c>
      <c r="I309" s="223">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0"/>
        <v>80350</v>
      </c>
    </row>
    <row r="310" spans="1:25" ht="37.5">
      <c r="A310" s="290"/>
      <c r="B310" s="290"/>
      <c r="C310" s="290"/>
      <c r="D310" s="279"/>
      <c r="E310" s="36" t="s">
        <v>1</v>
      </c>
      <c r="F310" s="105">
        <f t="shared" si="41"/>
        <v>51200</v>
      </c>
      <c r="G310" s="114">
        <v>1</v>
      </c>
      <c r="H310" s="105">
        <f t="shared" si="39"/>
        <v>51200</v>
      </c>
      <c r="I310" s="223">
        <v>3142</v>
      </c>
      <c r="J310" s="40">
        <v>51200</v>
      </c>
      <c r="K310" s="29"/>
      <c r="L310" s="29"/>
      <c r="M310" s="29"/>
      <c r="N310" s="29"/>
      <c r="O310" s="29"/>
      <c r="P310" s="29"/>
      <c r="Q310" s="29"/>
      <c r="R310" s="29"/>
      <c r="S310" s="29"/>
      <c r="T310" s="29">
        <v>51200</v>
      </c>
      <c r="U310" s="29"/>
      <c r="V310" s="29"/>
      <c r="W310" s="29">
        <f t="shared" si="42"/>
        <v>0</v>
      </c>
      <c r="X310" s="29"/>
      <c r="Y310" s="29">
        <f t="shared" si="40"/>
        <v>0</v>
      </c>
    </row>
    <row r="311" spans="1:25" ht="37.5">
      <c r="A311" s="290"/>
      <c r="B311" s="290"/>
      <c r="C311" s="290"/>
      <c r="D311" s="279"/>
      <c r="E311" s="36" t="s">
        <v>2</v>
      </c>
      <c r="F311" s="105">
        <f t="shared" si="41"/>
        <v>1470000</v>
      </c>
      <c r="G311" s="114">
        <v>1</v>
      </c>
      <c r="H311" s="105">
        <f t="shared" si="39"/>
        <v>1470000</v>
      </c>
      <c r="I311" s="232">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0"/>
        <v>70055</v>
      </c>
    </row>
    <row r="312" spans="1:25" ht="45.75" customHeight="1">
      <c r="A312" s="290"/>
      <c r="B312" s="290"/>
      <c r="C312" s="290"/>
      <c r="D312" s="279"/>
      <c r="E312" s="36" t="s">
        <v>791</v>
      </c>
      <c r="F312" s="105">
        <f t="shared" si="41"/>
        <v>1470000</v>
      </c>
      <c r="G312" s="114">
        <v>1</v>
      </c>
      <c r="H312" s="105">
        <f t="shared" si="39"/>
        <v>1470000</v>
      </c>
      <c r="I312" s="223">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0"/>
        <v>150433.13</v>
      </c>
    </row>
    <row r="313" spans="1:25" ht="112.5">
      <c r="A313" s="290"/>
      <c r="B313" s="290"/>
      <c r="C313" s="290"/>
      <c r="D313" s="279"/>
      <c r="E313" s="36" t="s">
        <v>58</v>
      </c>
      <c r="F313" s="105"/>
      <c r="G313" s="114"/>
      <c r="H313" s="105"/>
      <c r="I313" s="223">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0"/>
        <v>1030000</v>
      </c>
    </row>
    <row r="314" spans="1:25" ht="37.5">
      <c r="A314" s="290"/>
      <c r="B314" s="290"/>
      <c r="C314" s="290"/>
      <c r="D314" s="279"/>
      <c r="E314" s="36" t="s">
        <v>747</v>
      </c>
      <c r="F314" s="105">
        <f t="shared" si="41"/>
        <v>1470000</v>
      </c>
      <c r="G314" s="114">
        <v>1</v>
      </c>
      <c r="H314" s="105">
        <f t="shared" si="39"/>
        <v>1470000</v>
      </c>
      <c r="I314" s="223">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0"/>
        <v>106745.5</v>
      </c>
    </row>
    <row r="315" spans="1:25" ht="37.5">
      <c r="A315" s="290"/>
      <c r="B315" s="290"/>
      <c r="C315" s="290"/>
      <c r="D315" s="279"/>
      <c r="E315" s="36" t="s">
        <v>1042</v>
      </c>
      <c r="F315" s="105">
        <f t="shared" si="41"/>
        <v>1470000</v>
      </c>
      <c r="G315" s="114">
        <v>1</v>
      </c>
      <c r="H315" s="105">
        <f t="shared" si="39"/>
        <v>1470000</v>
      </c>
      <c r="I315" s="232">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0"/>
        <v>0</v>
      </c>
    </row>
    <row r="316" spans="1:25" ht="93.75">
      <c r="A316" s="290"/>
      <c r="B316" s="290"/>
      <c r="C316" s="290"/>
      <c r="D316" s="279"/>
      <c r="E316" s="36" t="s">
        <v>748</v>
      </c>
      <c r="F316" s="105">
        <f t="shared" si="41"/>
        <v>1470000</v>
      </c>
      <c r="G316" s="114">
        <v>1</v>
      </c>
      <c r="H316" s="105">
        <f t="shared" si="39"/>
        <v>1470000</v>
      </c>
      <c r="I316" s="223">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0"/>
        <v>21757</v>
      </c>
    </row>
    <row r="317" spans="1:25" ht="56.25">
      <c r="A317" s="290"/>
      <c r="B317" s="290"/>
      <c r="C317" s="290"/>
      <c r="D317" s="279"/>
      <c r="E317" s="52" t="s">
        <v>827</v>
      </c>
      <c r="F317" s="160">
        <f t="shared" si="41"/>
        <v>800000</v>
      </c>
      <c r="G317" s="114">
        <v>1</v>
      </c>
      <c r="H317" s="160">
        <f>J317</f>
        <v>800000</v>
      </c>
      <c r="I317" s="223">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0"/>
        <v>392.80000000004657</v>
      </c>
    </row>
    <row r="318" spans="1:25" ht="75">
      <c r="A318" s="290"/>
      <c r="B318" s="290"/>
      <c r="C318" s="290"/>
      <c r="D318" s="279"/>
      <c r="E318" s="36" t="s">
        <v>1038</v>
      </c>
      <c r="F318" s="105">
        <f t="shared" si="41"/>
        <v>840000</v>
      </c>
      <c r="G318" s="114">
        <v>1</v>
      </c>
      <c r="H318" s="105">
        <f>J318</f>
        <v>840000</v>
      </c>
      <c r="I318" s="232">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0"/>
        <v>0</v>
      </c>
    </row>
    <row r="319" spans="1:25" ht="60" customHeight="1">
      <c r="A319" s="290"/>
      <c r="B319" s="290"/>
      <c r="C319" s="290"/>
      <c r="D319" s="279"/>
      <c r="E319" s="36" t="s">
        <v>854</v>
      </c>
      <c r="F319" s="105"/>
      <c r="G319" s="114"/>
      <c r="H319" s="105"/>
      <c r="I319" s="232">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0"/>
        <v>110205.16999999993</v>
      </c>
    </row>
    <row r="320" spans="1:25" ht="90" hidden="1">
      <c r="A320" s="297"/>
      <c r="B320" s="297"/>
      <c r="C320" s="297"/>
      <c r="D320" s="292"/>
      <c r="E320" s="36" t="s">
        <v>723</v>
      </c>
      <c r="F320" s="105">
        <f t="shared" si="41"/>
        <v>0</v>
      </c>
      <c r="G320" s="114">
        <v>1</v>
      </c>
      <c r="H320" s="105">
        <f t="shared" si="39"/>
        <v>0</v>
      </c>
      <c r="I320" s="223">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0"/>
        <v>0</v>
      </c>
    </row>
    <row r="321" spans="1:25" ht="18.75">
      <c r="A321" s="289" t="s">
        <v>137</v>
      </c>
      <c r="B321" s="289" t="s">
        <v>50</v>
      </c>
      <c r="C321" s="289" t="s">
        <v>820</v>
      </c>
      <c r="D321" s="278" t="s">
        <v>49</v>
      </c>
      <c r="E321" s="36"/>
      <c r="F321" s="36"/>
      <c r="G321" s="36"/>
      <c r="H321" s="36"/>
      <c r="I321" s="223"/>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20226672.3</v>
      </c>
      <c r="Y321" s="29">
        <f t="shared" si="40"/>
        <v>6507393.989999998</v>
      </c>
    </row>
    <row r="322" spans="1:25" ht="36" hidden="1">
      <c r="A322" s="290"/>
      <c r="B322" s="290"/>
      <c r="C322" s="290"/>
      <c r="D322" s="279"/>
      <c r="E322" s="36" t="s">
        <v>749</v>
      </c>
      <c r="F322" s="105">
        <f>J322</f>
        <v>0</v>
      </c>
      <c r="G322" s="114">
        <v>1</v>
      </c>
      <c r="H322" s="105">
        <f t="shared" si="39"/>
        <v>0</v>
      </c>
      <c r="I322" s="232">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0"/>
        <v>0</v>
      </c>
    </row>
    <row r="323" spans="1:25" ht="37.5">
      <c r="A323" s="290"/>
      <c r="B323" s="290"/>
      <c r="C323" s="290"/>
      <c r="D323" s="279"/>
      <c r="E323" s="36" t="s">
        <v>750</v>
      </c>
      <c r="F323" s="105">
        <f aca="true" t="shared" si="44" ref="F323:F368">J323</f>
        <v>800000</v>
      </c>
      <c r="G323" s="114">
        <v>1</v>
      </c>
      <c r="H323" s="105">
        <f t="shared" si="39"/>
        <v>800000</v>
      </c>
      <c r="I323" s="223">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0"/>
        <v>200000</v>
      </c>
    </row>
    <row r="324" spans="1:25" ht="37.5">
      <c r="A324" s="290"/>
      <c r="B324" s="290"/>
      <c r="C324" s="290"/>
      <c r="D324" s="279"/>
      <c r="E324" s="36" t="s">
        <v>751</v>
      </c>
      <c r="F324" s="105">
        <f t="shared" si="44"/>
        <v>1470000</v>
      </c>
      <c r="G324" s="114">
        <v>1</v>
      </c>
      <c r="H324" s="105">
        <f t="shared" si="39"/>
        <v>1470000</v>
      </c>
      <c r="I324" s="223">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0"/>
        <v>526.4000000000233</v>
      </c>
    </row>
    <row r="325" spans="1:25" ht="37.5">
      <c r="A325" s="290"/>
      <c r="B325" s="290"/>
      <c r="C325" s="290"/>
      <c r="D325" s="279"/>
      <c r="E325" s="36" t="s">
        <v>741</v>
      </c>
      <c r="F325" s="105">
        <f t="shared" si="44"/>
        <v>1470000</v>
      </c>
      <c r="G325" s="114">
        <v>1</v>
      </c>
      <c r="H325" s="105">
        <f t="shared" si="39"/>
        <v>1470000</v>
      </c>
      <c r="I325" s="232">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0"/>
        <v>276.5</v>
      </c>
    </row>
    <row r="326" spans="1:25" ht="37.5">
      <c r="A326" s="290"/>
      <c r="B326" s="290"/>
      <c r="C326" s="290"/>
      <c r="D326" s="279"/>
      <c r="E326" s="36" t="s">
        <v>734</v>
      </c>
      <c r="F326" s="105">
        <f t="shared" si="44"/>
        <v>990000</v>
      </c>
      <c r="G326" s="114">
        <v>1</v>
      </c>
      <c r="H326" s="105">
        <f t="shared" si="39"/>
        <v>990000</v>
      </c>
      <c r="I326" s="223">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aca="true" t="shared" si="45" ref="Y326:Y389">K326+L326+M326+N326+O326+P326+Q326+R326-X326</f>
        <v>339.5999999999767</v>
      </c>
    </row>
    <row r="327" spans="1:25" ht="37.5">
      <c r="A327" s="290"/>
      <c r="B327" s="290"/>
      <c r="C327" s="290"/>
      <c r="D327" s="279"/>
      <c r="E327" s="36" t="s">
        <v>735</v>
      </c>
      <c r="F327" s="105">
        <f t="shared" si="44"/>
        <v>1470000</v>
      </c>
      <c r="G327" s="114">
        <v>1</v>
      </c>
      <c r="H327" s="105">
        <f t="shared" si="39"/>
        <v>1470000</v>
      </c>
      <c r="I327" s="223">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5"/>
        <v>99500</v>
      </c>
    </row>
    <row r="328" spans="1:25" ht="37.5">
      <c r="A328" s="290"/>
      <c r="B328" s="290"/>
      <c r="C328" s="290"/>
      <c r="D328" s="279"/>
      <c r="E328" s="36" t="s">
        <v>554</v>
      </c>
      <c r="F328" s="105">
        <f t="shared" si="44"/>
        <v>1500000</v>
      </c>
      <c r="G328" s="114"/>
      <c r="H328" s="105">
        <f t="shared" si="39"/>
        <v>1500000</v>
      </c>
      <c r="I328" s="223">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f t="shared" si="45"/>
        <v>300104.69</v>
      </c>
    </row>
    <row r="329" spans="1:25" ht="37.5">
      <c r="A329" s="290"/>
      <c r="B329" s="290"/>
      <c r="C329" s="290"/>
      <c r="D329" s="279"/>
      <c r="E329" s="36" t="s">
        <v>736</v>
      </c>
      <c r="F329" s="105">
        <f t="shared" si="44"/>
        <v>470000</v>
      </c>
      <c r="G329" s="114">
        <v>1</v>
      </c>
      <c r="H329" s="105">
        <f t="shared" si="39"/>
        <v>470000</v>
      </c>
      <c r="I329" s="232">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5"/>
        <v>0</v>
      </c>
    </row>
    <row r="330" spans="1:25" ht="36" hidden="1">
      <c r="A330" s="290"/>
      <c r="B330" s="290"/>
      <c r="C330" s="290"/>
      <c r="D330" s="279"/>
      <c r="E330" s="36" t="s">
        <v>737</v>
      </c>
      <c r="F330" s="105">
        <f t="shared" si="44"/>
        <v>0</v>
      </c>
      <c r="G330" s="114">
        <v>1</v>
      </c>
      <c r="H330" s="105">
        <f t="shared" si="39"/>
        <v>0</v>
      </c>
      <c r="I330" s="223">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5"/>
        <v>0</v>
      </c>
    </row>
    <row r="331" spans="1:25" ht="37.5">
      <c r="A331" s="290"/>
      <c r="B331" s="290"/>
      <c r="C331" s="290"/>
      <c r="D331" s="279"/>
      <c r="E331" s="43" t="s">
        <v>858</v>
      </c>
      <c r="F331" s="105">
        <f t="shared" si="44"/>
        <v>900000</v>
      </c>
      <c r="G331" s="114"/>
      <c r="H331" s="105">
        <f t="shared" si="39"/>
        <v>900000</v>
      </c>
      <c r="I331" s="223">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5"/>
        <v>320</v>
      </c>
    </row>
    <row r="332" spans="1:25" ht="119.25" customHeight="1" hidden="1">
      <c r="A332" s="290"/>
      <c r="B332" s="290"/>
      <c r="C332" s="290"/>
      <c r="D332" s="279"/>
      <c r="E332" s="185" t="s">
        <v>329</v>
      </c>
      <c r="F332" s="199">
        <f t="shared" si="44"/>
        <v>0</v>
      </c>
      <c r="G332" s="200">
        <v>1</v>
      </c>
      <c r="H332" s="199">
        <f t="shared" si="39"/>
        <v>0</v>
      </c>
      <c r="I332" s="230">
        <v>3142</v>
      </c>
      <c r="J332" s="201">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5"/>
        <v>0</v>
      </c>
    </row>
    <row r="333" spans="1:25" ht="99.75" customHeight="1">
      <c r="A333" s="290"/>
      <c r="B333" s="290"/>
      <c r="C333" s="290"/>
      <c r="D333" s="279"/>
      <c r="E333" s="195" t="s">
        <v>237</v>
      </c>
      <c r="F333" s="202">
        <f t="shared" si="44"/>
        <v>1981000</v>
      </c>
      <c r="G333" s="203">
        <v>1</v>
      </c>
      <c r="H333" s="202">
        <f t="shared" si="39"/>
        <v>1981000</v>
      </c>
      <c r="I333" s="269">
        <v>3142</v>
      </c>
      <c r="J333" s="205">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5"/>
        <v>1120206.17</v>
      </c>
    </row>
    <row r="334" spans="1:25" ht="37.5">
      <c r="A334" s="290"/>
      <c r="B334" s="290"/>
      <c r="C334" s="290"/>
      <c r="D334" s="279"/>
      <c r="E334" s="27" t="s">
        <v>738</v>
      </c>
      <c r="F334" s="105">
        <f t="shared" si="44"/>
        <v>1450000</v>
      </c>
      <c r="G334" s="114">
        <v>1</v>
      </c>
      <c r="H334" s="105">
        <f t="shared" si="39"/>
        <v>1450000</v>
      </c>
      <c r="I334" s="223">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5"/>
        <v>245794</v>
      </c>
    </row>
    <row r="335" spans="1:25" ht="56.25">
      <c r="A335" s="290"/>
      <c r="B335" s="290"/>
      <c r="C335" s="290"/>
      <c r="D335" s="279"/>
      <c r="E335" s="36" t="s">
        <v>728</v>
      </c>
      <c r="F335" s="105">
        <f t="shared" si="44"/>
        <v>1400000</v>
      </c>
      <c r="G335" s="114">
        <v>1</v>
      </c>
      <c r="H335" s="105">
        <f t="shared" si="39"/>
        <v>1400000</v>
      </c>
      <c r="I335" s="223">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5"/>
        <v>77006</v>
      </c>
    </row>
    <row r="336" spans="1:25" ht="37.5">
      <c r="A336" s="290"/>
      <c r="B336" s="290"/>
      <c r="C336" s="290"/>
      <c r="D336" s="279"/>
      <c r="E336" s="36" t="s">
        <v>729</v>
      </c>
      <c r="F336" s="105">
        <f t="shared" si="44"/>
        <v>550000</v>
      </c>
      <c r="G336" s="114">
        <v>1</v>
      </c>
      <c r="H336" s="105">
        <f t="shared" si="39"/>
        <v>550000</v>
      </c>
      <c r="I336" s="232">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5"/>
        <v>276038.2</v>
      </c>
    </row>
    <row r="337" spans="1:25" ht="18" hidden="1">
      <c r="A337" s="290"/>
      <c r="B337" s="290"/>
      <c r="C337" s="290"/>
      <c r="D337" s="279"/>
      <c r="E337" s="36" t="s">
        <v>730</v>
      </c>
      <c r="F337" s="105">
        <f t="shared" si="44"/>
        <v>0</v>
      </c>
      <c r="G337" s="114">
        <v>1</v>
      </c>
      <c r="H337" s="105">
        <f t="shared" si="39"/>
        <v>0</v>
      </c>
      <c r="I337" s="223">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5"/>
        <v>0</v>
      </c>
    </row>
    <row r="338" spans="1:25" ht="37.5">
      <c r="A338" s="290"/>
      <c r="B338" s="290"/>
      <c r="C338" s="290"/>
      <c r="D338" s="279"/>
      <c r="E338" s="36" t="s">
        <v>852</v>
      </c>
      <c r="F338" s="105"/>
      <c r="G338" s="114"/>
      <c r="H338" s="105"/>
      <c r="I338" s="223">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t="shared" si="45"/>
        <v>515.2600000000093</v>
      </c>
    </row>
    <row r="339" spans="1:25" ht="37.5">
      <c r="A339" s="290"/>
      <c r="B339" s="290"/>
      <c r="C339" s="290"/>
      <c r="D339" s="279"/>
      <c r="E339" s="36" t="s">
        <v>853</v>
      </c>
      <c r="F339" s="105"/>
      <c r="G339" s="114"/>
      <c r="H339" s="105"/>
      <c r="I339" s="223">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290"/>
      <c r="B340" s="290"/>
      <c r="C340" s="290"/>
      <c r="D340" s="279"/>
      <c r="E340" s="36" t="s">
        <v>731</v>
      </c>
      <c r="F340" s="105">
        <f t="shared" si="44"/>
        <v>700000</v>
      </c>
      <c r="G340" s="114">
        <v>1</v>
      </c>
      <c r="H340" s="105">
        <f t="shared" si="39"/>
        <v>700000</v>
      </c>
      <c r="I340" s="223">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290"/>
      <c r="B341" s="290"/>
      <c r="C341" s="290"/>
      <c r="D341" s="279"/>
      <c r="E341" s="36" t="s">
        <v>732</v>
      </c>
      <c r="F341" s="105">
        <f t="shared" si="44"/>
        <v>1470000</v>
      </c>
      <c r="G341" s="114">
        <v>1</v>
      </c>
      <c r="H341" s="105">
        <f t="shared" si="39"/>
        <v>1470000</v>
      </c>
      <c r="I341" s="232">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f>641832.7+26935.8</f>
        <v>668768.5</v>
      </c>
      <c r="Y341" s="29">
        <f t="shared" si="45"/>
        <v>66231.5</v>
      </c>
    </row>
    <row r="342" spans="1:25" ht="117" customHeight="1">
      <c r="A342" s="290"/>
      <c r="B342" s="290"/>
      <c r="C342" s="290"/>
      <c r="D342" s="279"/>
      <c r="E342" s="186" t="s">
        <v>210</v>
      </c>
      <c r="F342" s="199">
        <f t="shared" si="44"/>
        <v>985340</v>
      </c>
      <c r="G342" s="200">
        <v>1</v>
      </c>
      <c r="H342" s="199">
        <f t="shared" si="39"/>
        <v>985340</v>
      </c>
      <c r="I342" s="230">
        <v>3142</v>
      </c>
      <c r="J342" s="201">
        <v>985340</v>
      </c>
      <c r="K342" s="180"/>
      <c r="L342" s="180">
        <v>985340</v>
      </c>
      <c r="M342" s="180"/>
      <c r="N342" s="180"/>
      <c r="O342" s="180">
        <v>-979000</v>
      </c>
      <c r="P342" s="180"/>
      <c r="Q342" s="180"/>
      <c r="R342" s="180">
        <f>76000+440000</f>
        <v>516000</v>
      </c>
      <c r="S342" s="180">
        <v>50000</v>
      </c>
      <c r="T342" s="180"/>
      <c r="U342" s="180">
        <f>758000-440000</f>
        <v>318000</v>
      </c>
      <c r="V342" s="180">
        <v>95000</v>
      </c>
      <c r="W342" s="29">
        <f t="shared" si="42"/>
        <v>0</v>
      </c>
      <c r="X342" s="29">
        <f>446340</f>
        <v>446340</v>
      </c>
      <c r="Y342" s="29">
        <f t="shared" si="45"/>
        <v>76000</v>
      </c>
    </row>
    <row r="343" spans="1:25" ht="54" hidden="1">
      <c r="A343" s="290"/>
      <c r="B343" s="290"/>
      <c r="C343" s="290"/>
      <c r="D343" s="279"/>
      <c r="E343" s="36" t="s">
        <v>66</v>
      </c>
      <c r="F343" s="105">
        <f t="shared" si="44"/>
        <v>0</v>
      </c>
      <c r="G343" s="114">
        <v>1</v>
      </c>
      <c r="H343" s="105">
        <f t="shared" si="39"/>
        <v>0</v>
      </c>
      <c r="I343" s="223">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290"/>
      <c r="B344" s="290"/>
      <c r="C344" s="290"/>
      <c r="D344" s="279"/>
      <c r="E344" s="43" t="s">
        <v>766</v>
      </c>
      <c r="F344" s="160">
        <f t="shared" si="44"/>
        <v>440000</v>
      </c>
      <c r="G344" s="114">
        <v>1</v>
      </c>
      <c r="H344" s="160">
        <f t="shared" si="39"/>
        <v>440000</v>
      </c>
      <c r="I344" s="232">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290"/>
      <c r="B345" s="290"/>
      <c r="C345" s="290"/>
      <c r="D345" s="279"/>
      <c r="E345" s="36" t="s">
        <v>742</v>
      </c>
      <c r="F345" s="105">
        <f t="shared" si="44"/>
        <v>1290000</v>
      </c>
      <c r="G345" s="114">
        <v>1</v>
      </c>
      <c r="H345" s="105">
        <f t="shared" si="39"/>
        <v>1290000</v>
      </c>
      <c r="I345" s="223">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564926+483410+100000</f>
        <v>1148336</v>
      </c>
      <c r="Y345" s="29">
        <f t="shared" si="45"/>
        <v>1664</v>
      </c>
    </row>
    <row r="346" spans="1:25" ht="37.5">
      <c r="A346" s="290"/>
      <c r="B346" s="290"/>
      <c r="C346" s="290"/>
      <c r="D346" s="279"/>
      <c r="E346" s="36" t="s">
        <v>733</v>
      </c>
      <c r="F346" s="105">
        <f t="shared" si="44"/>
        <v>100000</v>
      </c>
      <c r="G346" s="114">
        <v>1</v>
      </c>
      <c r="H346" s="105">
        <f t="shared" si="39"/>
        <v>100000</v>
      </c>
      <c r="I346" s="223">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290"/>
      <c r="B347" s="290"/>
      <c r="C347" s="290"/>
      <c r="D347" s="279"/>
      <c r="E347" s="36" t="s">
        <v>1153</v>
      </c>
      <c r="F347" s="105">
        <f t="shared" si="44"/>
        <v>600000</v>
      </c>
      <c r="G347" s="114">
        <v>1</v>
      </c>
      <c r="H347" s="105">
        <f t="shared" si="39"/>
        <v>600000</v>
      </c>
      <c r="I347" s="232">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290"/>
      <c r="B348" s="290"/>
      <c r="C348" s="290"/>
      <c r="D348" s="279"/>
      <c r="E348" s="36" t="s">
        <v>1154</v>
      </c>
      <c r="F348" s="105">
        <f t="shared" si="44"/>
        <v>1480000</v>
      </c>
      <c r="G348" s="114">
        <v>1</v>
      </c>
      <c r="H348" s="105">
        <f t="shared" si="39"/>
        <v>1480000</v>
      </c>
      <c r="I348" s="223">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290"/>
      <c r="B349" s="290"/>
      <c r="C349" s="290"/>
      <c r="D349" s="279"/>
      <c r="E349" s="36" t="s">
        <v>1155</v>
      </c>
      <c r="F349" s="105">
        <f t="shared" si="44"/>
        <v>1100000</v>
      </c>
      <c r="G349" s="114">
        <v>1</v>
      </c>
      <c r="H349" s="105">
        <f t="shared" si="39"/>
        <v>1100000</v>
      </c>
      <c r="I349" s="223">
        <v>3142</v>
      </c>
      <c r="J349" s="40">
        <v>1100000</v>
      </c>
      <c r="K349" s="29"/>
      <c r="L349" s="29"/>
      <c r="M349" s="29"/>
      <c r="N349" s="29"/>
      <c r="O349" s="29"/>
      <c r="P349" s="29"/>
      <c r="Q349" s="29">
        <f>440000</f>
        <v>440000</v>
      </c>
      <c r="R349" s="29">
        <f>300000-300000-440000</f>
        <v>-440000</v>
      </c>
      <c r="S349" s="29"/>
      <c r="T349" s="29">
        <f>100000-100000</f>
        <v>0</v>
      </c>
      <c r="U349" s="29">
        <f>300000-40000+440000</f>
        <v>700000</v>
      </c>
      <c r="V349" s="29">
        <v>400000</v>
      </c>
      <c r="W349" s="29">
        <f t="shared" si="42"/>
        <v>0</v>
      </c>
      <c r="X349" s="29"/>
      <c r="Y349" s="29">
        <f t="shared" si="45"/>
        <v>0</v>
      </c>
    </row>
    <row r="350" spans="1:25" ht="56.25">
      <c r="A350" s="290"/>
      <c r="B350" s="290"/>
      <c r="C350" s="290"/>
      <c r="D350" s="279"/>
      <c r="E350" s="36" t="s">
        <v>699</v>
      </c>
      <c r="F350" s="105">
        <f t="shared" si="44"/>
        <v>1470000</v>
      </c>
      <c r="G350" s="114">
        <v>1</v>
      </c>
      <c r="H350" s="105">
        <f aca="true" t="shared" si="46" ref="H350:H378">J350</f>
        <v>1470000</v>
      </c>
      <c r="I350" s="232">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290"/>
      <c r="B351" s="290"/>
      <c r="C351" s="290"/>
      <c r="D351" s="279"/>
      <c r="E351" s="196" t="s">
        <v>600</v>
      </c>
      <c r="F351" s="202">
        <f t="shared" si="44"/>
        <v>315000</v>
      </c>
      <c r="G351" s="203">
        <v>1</v>
      </c>
      <c r="H351" s="202">
        <f t="shared" si="46"/>
        <v>315000</v>
      </c>
      <c r="I351" s="231">
        <v>3142</v>
      </c>
      <c r="J351" s="205">
        <v>315000</v>
      </c>
      <c r="K351" s="11"/>
      <c r="L351" s="11">
        <v>100000</v>
      </c>
      <c r="M351" s="198"/>
      <c r="N351" s="11">
        <v>215000</v>
      </c>
      <c r="O351" s="11">
        <v>-315000</v>
      </c>
      <c r="P351" s="11"/>
      <c r="Q351" s="11">
        <f>70000-10000</f>
        <v>60000</v>
      </c>
      <c r="R351" s="11">
        <f>245000+10000</f>
        <v>255000</v>
      </c>
      <c r="S351" s="11"/>
      <c r="T351" s="11"/>
      <c r="U351" s="11"/>
      <c r="V351" s="11"/>
      <c r="W351" s="29">
        <f t="shared" si="42"/>
        <v>0</v>
      </c>
      <c r="X351" s="29"/>
      <c r="Y351" s="29">
        <f t="shared" si="45"/>
        <v>315000</v>
      </c>
    </row>
    <row r="352" spans="1:25" ht="37.5">
      <c r="A352" s="290"/>
      <c r="B352" s="290"/>
      <c r="C352" s="290"/>
      <c r="D352" s="279"/>
      <c r="E352" s="36" t="s">
        <v>949</v>
      </c>
      <c r="F352" s="105">
        <f t="shared" si="44"/>
        <v>400000</v>
      </c>
      <c r="G352" s="114">
        <v>1</v>
      </c>
      <c r="H352" s="105">
        <f t="shared" si="46"/>
        <v>400000</v>
      </c>
      <c r="I352" s="223">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290"/>
      <c r="B353" s="290"/>
      <c r="C353" s="290"/>
      <c r="D353" s="279"/>
      <c r="E353" s="196" t="s">
        <v>1075</v>
      </c>
      <c r="F353" s="202">
        <f t="shared" si="44"/>
        <v>5084492.859999999</v>
      </c>
      <c r="G353" s="203">
        <v>1</v>
      </c>
      <c r="H353" s="202">
        <f t="shared" si="46"/>
        <v>5084492.859999999</v>
      </c>
      <c r="I353" s="269">
        <v>3142</v>
      </c>
      <c r="J353" s="205">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721401+78000+594671.52+106516.56+65814+37845.6+794215.2+1436.47+12261.99</f>
        <v>2412162.3400000003</v>
      </c>
      <c r="Y353" s="29">
        <f t="shared" si="45"/>
        <v>1409330.5199999996</v>
      </c>
    </row>
    <row r="354" spans="1:25" ht="117.75" customHeight="1">
      <c r="A354" s="290"/>
      <c r="B354" s="290"/>
      <c r="C354" s="290"/>
      <c r="D354" s="279"/>
      <c r="E354" s="186" t="s">
        <v>330</v>
      </c>
      <c r="F354" s="199">
        <f t="shared" si="44"/>
        <v>825317</v>
      </c>
      <c r="G354" s="200">
        <v>1</v>
      </c>
      <c r="H354" s="199">
        <f t="shared" si="46"/>
        <v>825317</v>
      </c>
      <c r="I354" s="230">
        <v>3142</v>
      </c>
      <c r="J354" s="201">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540317</v>
      </c>
    </row>
    <row r="355" spans="1:25" ht="37.5">
      <c r="A355" s="290"/>
      <c r="B355" s="290"/>
      <c r="C355" s="290"/>
      <c r="D355" s="279"/>
      <c r="E355" s="36" t="s">
        <v>51</v>
      </c>
      <c r="F355" s="105">
        <f t="shared" si="44"/>
        <v>1360000</v>
      </c>
      <c r="G355" s="114">
        <v>1</v>
      </c>
      <c r="H355" s="105">
        <f t="shared" si="46"/>
        <v>1360000</v>
      </c>
      <c r="I355" s="223">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290"/>
      <c r="B356" s="290"/>
      <c r="C356" s="290"/>
      <c r="D356" s="279"/>
      <c r="E356" s="36" t="s">
        <v>428</v>
      </c>
      <c r="F356" s="105">
        <f t="shared" si="44"/>
        <v>1470000</v>
      </c>
      <c r="G356" s="114">
        <v>1</v>
      </c>
      <c r="H356" s="105">
        <f t="shared" si="46"/>
        <v>1470000</v>
      </c>
      <c r="I356" s="232">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290"/>
      <c r="B357" s="290"/>
      <c r="C357" s="290"/>
      <c r="D357" s="279"/>
      <c r="E357" s="36" t="s">
        <v>65</v>
      </c>
      <c r="F357" s="105">
        <f t="shared" si="44"/>
        <v>1366900</v>
      </c>
      <c r="G357" s="114">
        <v>1</v>
      </c>
      <c r="H357" s="105">
        <f t="shared" si="46"/>
        <v>1366900</v>
      </c>
      <c r="I357" s="223">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405502.24+10298+0.08+20977</f>
        <v>436777.32</v>
      </c>
      <c r="Y357" s="29">
        <f t="shared" si="45"/>
        <v>123522.68</v>
      </c>
    </row>
    <row r="358" spans="1:25" ht="37.5">
      <c r="A358" s="290"/>
      <c r="B358" s="290"/>
      <c r="C358" s="290"/>
      <c r="D358" s="279"/>
      <c r="E358" s="36" t="s">
        <v>52</v>
      </c>
      <c r="F358" s="105">
        <f t="shared" si="44"/>
        <v>872000</v>
      </c>
      <c r="G358" s="114">
        <v>1</v>
      </c>
      <c r="H358" s="105">
        <f t="shared" si="46"/>
        <v>872000</v>
      </c>
      <c r="I358" s="223">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290"/>
      <c r="B359" s="290"/>
      <c r="C359" s="290"/>
      <c r="D359" s="279"/>
      <c r="E359" s="36" t="s">
        <v>743</v>
      </c>
      <c r="F359" s="105"/>
      <c r="G359" s="114"/>
      <c r="H359" s="105"/>
      <c r="I359" s="223">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320389.5</v>
      </c>
    </row>
    <row r="360" spans="1:25" ht="56.25">
      <c r="A360" s="290"/>
      <c r="B360" s="290"/>
      <c r="C360" s="290"/>
      <c r="D360" s="279"/>
      <c r="E360" s="36" t="s">
        <v>1106</v>
      </c>
      <c r="F360" s="105">
        <f t="shared" si="44"/>
        <v>1470000</v>
      </c>
      <c r="G360" s="114">
        <v>1</v>
      </c>
      <c r="H360" s="105">
        <f t="shared" si="46"/>
        <v>1470000</v>
      </c>
      <c r="I360" s="232">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290"/>
      <c r="B361" s="290"/>
      <c r="C361" s="290"/>
      <c r="D361" s="279"/>
      <c r="E361" s="36" t="s">
        <v>342</v>
      </c>
      <c r="F361" s="105">
        <f t="shared" si="44"/>
        <v>1400000</v>
      </c>
      <c r="G361" s="114">
        <v>1</v>
      </c>
      <c r="H361" s="105">
        <f t="shared" si="46"/>
        <v>1400000</v>
      </c>
      <c r="I361" s="223">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f>530631+21859.2</f>
        <v>552490.2</v>
      </c>
      <c r="Y361" s="29">
        <f t="shared" si="45"/>
        <v>92509.80000000005</v>
      </c>
    </row>
    <row r="362" spans="1:25" ht="37.5">
      <c r="A362" s="290"/>
      <c r="B362" s="290"/>
      <c r="C362" s="290"/>
      <c r="D362" s="279"/>
      <c r="E362" s="36" t="s">
        <v>944</v>
      </c>
      <c r="F362" s="105">
        <f t="shared" si="44"/>
        <v>1470000</v>
      </c>
      <c r="G362" s="114">
        <v>1</v>
      </c>
      <c r="H362" s="105">
        <f t="shared" si="46"/>
        <v>1470000</v>
      </c>
      <c r="I362" s="223">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290"/>
      <c r="B363" s="290"/>
      <c r="C363" s="290"/>
      <c r="D363" s="279"/>
      <c r="E363" s="186" t="s">
        <v>1085</v>
      </c>
      <c r="F363" s="199">
        <f t="shared" si="44"/>
        <v>236000</v>
      </c>
      <c r="G363" s="200">
        <v>1</v>
      </c>
      <c r="H363" s="199">
        <f t="shared" si="46"/>
        <v>236000</v>
      </c>
      <c r="I363" s="270">
        <v>3142</v>
      </c>
      <c r="J363" s="201">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290"/>
      <c r="B364" s="290"/>
      <c r="C364" s="290"/>
      <c r="D364" s="279"/>
      <c r="E364" s="36" t="s">
        <v>945</v>
      </c>
      <c r="F364" s="105">
        <f t="shared" si="44"/>
        <v>1137548</v>
      </c>
      <c r="G364" s="114">
        <v>1</v>
      </c>
      <c r="H364" s="105">
        <f t="shared" si="46"/>
        <v>1137548</v>
      </c>
      <c r="I364" s="223">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1159.2600000000093</v>
      </c>
    </row>
    <row r="365" spans="1:25" ht="37.5">
      <c r="A365" s="290"/>
      <c r="B365" s="290"/>
      <c r="C365" s="290"/>
      <c r="D365" s="279"/>
      <c r="E365" s="36" t="s">
        <v>946</v>
      </c>
      <c r="F365" s="105">
        <f t="shared" si="44"/>
        <v>1313000</v>
      </c>
      <c r="G365" s="114">
        <v>1</v>
      </c>
      <c r="H365" s="105">
        <f t="shared" si="46"/>
        <v>1313000</v>
      </c>
      <c r="I365" s="223">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290"/>
      <c r="B366" s="290"/>
      <c r="C366" s="290"/>
      <c r="D366" s="279"/>
      <c r="E366" s="36" t="s">
        <v>648</v>
      </c>
      <c r="F366" s="105">
        <f t="shared" si="44"/>
        <v>1470000</v>
      </c>
      <c r="G366" s="114">
        <v>1</v>
      </c>
      <c r="H366" s="105">
        <f t="shared" si="46"/>
        <v>1470000</v>
      </c>
      <c r="I366" s="232">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290"/>
      <c r="B367" s="290"/>
      <c r="C367" s="290"/>
      <c r="D367" s="279"/>
      <c r="E367" s="36" t="s">
        <v>696</v>
      </c>
      <c r="F367" s="105">
        <f t="shared" si="44"/>
        <v>1894000</v>
      </c>
      <c r="G367" s="114">
        <v>1</v>
      </c>
      <c r="H367" s="105">
        <f t="shared" si="46"/>
        <v>1894000</v>
      </c>
      <c r="I367" s="223">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267375.80999999994</v>
      </c>
    </row>
    <row r="368" spans="1:25" ht="37.5">
      <c r="A368" s="290"/>
      <c r="B368" s="290"/>
      <c r="C368" s="290"/>
      <c r="D368" s="279"/>
      <c r="E368" s="36" t="s">
        <v>935</v>
      </c>
      <c r="F368" s="105">
        <f t="shared" si="44"/>
        <v>825000</v>
      </c>
      <c r="G368" s="114">
        <v>1</v>
      </c>
      <c r="H368" s="105">
        <f t="shared" si="46"/>
        <v>825000</v>
      </c>
      <c r="I368" s="223">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289" t="s">
        <v>810</v>
      </c>
      <c r="B369" s="289" t="s">
        <v>811</v>
      </c>
      <c r="C369" s="289" t="s">
        <v>1127</v>
      </c>
      <c r="D369" s="278" t="s">
        <v>809</v>
      </c>
      <c r="E369" s="36"/>
      <c r="F369" s="36"/>
      <c r="G369" s="36"/>
      <c r="H369" s="36"/>
      <c r="I369" s="232"/>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1035858.8000000003</v>
      </c>
    </row>
    <row r="370" spans="1:25" ht="56.25">
      <c r="A370" s="290"/>
      <c r="B370" s="290"/>
      <c r="C370" s="290"/>
      <c r="D370" s="279"/>
      <c r="E370" s="36" t="s">
        <v>670</v>
      </c>
      <c r="F370" s="105">
        <f aca="true" t="shared" si="48" ref="F370:F378">J370</f>
        <v>1450000</v>
      </c>
      <c r="G370" s="114">
        <v>1</v>
      </c>
      <c r="H370" s="105">
        <f t="shared" si="46"/>
        <v>1450000</v>
      </c>
      <c r="I370" s="223">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290"/>
      <c r="B371" s="290"/>
      <c r="C371" s="290"/>
      <c r="D371" s="279"/>
      <c r="E371" s="36" t="s">
        <v>387</v>
      </c>
      <c r="F371" s="105">
        <f t="shared" si="48"/>
        <v>970000</v>
      </c>
      <c r="G371" s="114">
        <v>1</v>
      </c>
      <c r="H371" s="105">
        <f t="shared" si="46"/>
        <v>970000</v>
      </c>
      <c r="I371" s="223">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208499.3</v>
      </c>
    </row>
    <row r="372" spans="1:25" ht="75">
      <c r="A372" s="290"/>
      <c r="B372" s="290"/>
      <c r="C372" s="290"/>
      <c r="D372" s="279"/>
      <c r="E372" s="36" t="s">
        <v>824</v>
      </c>
      <c r="F372" s="105">
        <f t="shared" si="48"/>
        <v>23414</v>
      </c>
      <c r="G372" s="114"/>
      <c r="H372" s="105">
        <f t="shared" si="46"/>
        <v>23414</v>
      </c>
      <c r="I372" s="223">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290"/>
      <c r="B373" s="290"/>
      <c r="C373" s="290"/>
      <c r="D373" s="279"/>
      <c r="E373" s="36" t="s">
        <v>725</v>
      </c>
      <c r="F373" s="105">
        <f t="shared" si="48"/>
        <v>1470000</v>
      </c>
      <c r="G373" s="114"/>
      <c r="H373" s="105">
        <f t="shared" si="46"/>
        <v>1470000</v>
      </c>
      <c r="I373" s="223">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294112.4</v>
      </c>
    </row>
    <row r="374" spans="1:25" ht="102" customHeight="1">
      <c r="A374" s="290"/>
      <c r="B374" s="290"/>
      <c r="C374" s="290"/>
      <c r="D374" s="279"/>
      <c r="E374" s="36" t="s">
        <v>1036</v>
      </c>
      <c r="F374" s="105">
        <f t="shared" si="48"/>
        <v>830600</v>
      </c>
      <c r="G374" s="114">
        <v>1</v>
      </c>
      <c r="H374" s="105">
        <f t="shared" si="46"/>
        <v>830600</v>
      </c>
      <c r="I374" s="232">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290"/>
      <c r="B375" s="290"/>
      <c r="C375" s="290"/>
      <c r="D375" s="279"/>
      <c r="E375" s="36" t="s">
        <v>291</v>
      </c>
      <c r="F375" s="105">
        <f t="shared" si="48"/>
        <v>111000</v>
      </c>
      <c r="G375" s="114"/>
      <c r="H375" s="105">
        <f t="shared" si="46"/>
        <v>111000</v>
      </c>
      <c r="I375" s="232">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290"/>
      <c r="B376" s="290"/>
      <c r="C376" s="290"/>
      <c r="D376" s="279"/>
      <c r="E376" s="36" t="s">
        <v>1037</v>
      </c>
      <c r="F376" s="105">
        <f t="shared" si="48"/>
        <v>1000000</v>
      </c>
      <c r="G376" s="114">
        <v>1</v>
      </c>
      <c r="H376" s="105">
        <f t="shared" si="46"/>
        <v>1000000</v>
      </c>
      <c r="I376" s="223">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520381.9</v>
      </c>
    </row>
    <row r="377" spans="1:25" ht="63" customHeight="1" hidden="1">
      <c r="A377" s="290"/>
      <c r="B377" s="290"/>
      <c r="C377" s="290"/>
      <c r="D377" s="279"/>
      <c r="E377" s="52" t="s">
        <v>827</v>
      </c>
      <c r="F377" s="160">
        <f t="shared" si="48"/>
        <v>0</v>
      </c>
      <c r="G377" s="114">
        <v>1</v>
      </c>
      <c r="H377" s="160">
        <f>J377</f>
        <v>0</v>
      </c>
      <c r="I377" s="232"/>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290"/>
      <c r="B378" s="297"/>
      <c r="C378" s="290"/>
      <c r="D378" s="279"/>
      <c r="E378" s="36" t="s">
        <v>1038</v>
      </c>
      <c r="F378" s="105">
        <f t="shared" si="48"/>
        <v>0</v>
      </c>
      <c r="G378" s="114">
        <v>1</v>
      </c>
      <c r="H378" s="105">
        <f t="shared" si="46"/>
        <v>0</v>
      </c>
      <c r="I378" s="225"/>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10">
        <v>1017470</v>
      </c>
      <c r="B379" s="293" t="s">
        <v>80</v>
      </c>
      <c r="C379" s="307" t="s">
        <v>280</v>
      </c>
      <c r="D379" s="278" t="s">
        <v>79</v>
      </c>
      <c r="E379" s="36"/>
      <c r="F379" s="36"/>
      <c r="G379" s="36"/>
      <c r="H379" s="36"/>
      <c r="I379" s="224"/>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624000</v>
      </c>
      <c r="S379" s="16">
        <f t="shared" si="50"/>
        <v>550000</v>
      </c>
      <c r="T379" s="16">
        <f t="shared" si="50"/>
        <v>570800</v>
      </c>
      <c r="U379" s="16">
        <f t="shared" si="50"/>
        <v>635630</v>
      </c>
      <c r="V379" s="16">
        <f t="shared" si="50"/>
        <v>309400</v>
      </c>
      <c r="W379" s="16">
        <f>W382+W380</f>
        <v>0</v>
      </c>
      <c r="X379" s="16">
        <f>X382+X380</f>
        <v>723954.6</v>
      </c>
      <c r="Y379" s="29">
        <f t="shared" si="45"/>
        <v>84415.40000000002</v>
      </c>
    </row>
    <row r="380" spans="1:25" ht="56.25">
      <c r="A380" s="311"/>
      <c r="B380" s="299"/>
      <c r="C380" s="308"/>
      <c r="D380" s="279"/>
      <c r="E380" s="59" t="s">
        <v>68</v>
      </c>
      <c r="F380" s="36"/>
      <c r="G380" s="36"/>
      <c r="H380" s="36"/>
      <c r="I380" s="224"/>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624000</v>
      </c>
      <c r="S380" s="16">
        <f t="shared" si="51"/>
        <v>150000</v>
      </c>
      <c r="T380" s="16">
        <f t="shared" si="51"/>
        <v>249000</v>
      </c>
      <c r="U380" s="16">
        <f t="shared" si="51"/>
        <v>277000</v>
      </c>
      <c r="V380" s="16">
        <f t="shared" si="51"/>
        <v>0</v>
      </c>
      <c r="W380" s="31">
        <f t="shared" si="49"/>
        <v>0</v>
      </c>
      <c r="X380" s="16">
        <f t="shared" si="51"/>
        <v>723954.6</v>
      </c>
      <c r="Y380" s="29">
        <f t="shared" si="45"/>
        <v>45.40000000002328</v>
      </c>
    </row>
    <row r="381" spans="1:25" ht="56.25">
      <c r="A381" s="311"/>
      <c r="B381" s="299"/>
      <c r="C381" s="308"/>
      <c r="D381" s="279"/>
      <c r="E381" s="61" t="s">
        <v>857</v>
      </c>
      <c r="F381" s="36"/>
      <c r="G381" s="36"/>
      <c r="H381" s="36"/>
      <c r="I381" s="224">
        <v>3210</v>
      </c>
      <c r="J381" s="40">
        <v>1400000</v>
      </c>
      <c r="K381" s="40"/>
      <c r="L381" s="40"/>
      <c r="M381" s="40"/>
      <c r="N381" s="40"/>
      <c r="O381" s="40"/>
      <c r="P381" s="40"/>
      <c r="Q381" s="40">
        <v>100000</v>
      </c>
      <c r="R381" s="40">
        <f>624000</f>
        <v>624000</v>
      </c>
      <c r="S381" s="40">
        <v>150000</v>
      </c>
      <c r="T381" s="40">
        <v>249000</v>
      </c>
      <c r="U381" s="40">
        <f>901000-624000</f>
        <v>277000</v>
      </c>
      <c r="V381" s="40"/>
      <c r="W381" s="29">
        <f t="shared" si="49"/>
        <v>0</v>
      </c>
      <c r="X381" s="40">
        <f>75000+648954.6</f>
        <v>723954.6</v>
      </c>
      <c r="Y381" s="29">
        <f t="shared" si="45"/>
        <v>45.40000000002328</v>
      </c>
    </row>
    <row r="382" spans="1:25" ht="37.5">
      <c r="A382" s="311"/>
      <c r="B382" s="299"/>
      <c r="C382" s="308"/>
      <c r="D382" s="279"/>
      <c r="E382" s="59" t="s">
        <v>630</v>
      </c>
      <c r="F382" s="59"/>
      <c r="G382" s="59"/>
      <c r="H382" s="59"/>
      <c r="I382" s="255"/>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11"/>
      <c r="B383" s="299"/>
      <c r="C383" s="308"/>
      <c r="D383" s="279"/>
      <c r="E383" s="61" t="s">
        <v>207</v>
      </c>
      <c r="F383" s="61"/>
      <c r="G383" s="61"/>
      <c r="H383" s="61"/>
      <c r="I383" s="234"/>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12"/>
      <c r="B384" s="294"/>
      <c r="C384" s="309"/>
      <c r="D384" s="292"/>
      <c r="E384" s="61" t="s">
        <v>200</v>
      </c>
      <c r="F384" s="61"/>
      <c r="G384" s="61"/>
      <c r="H384" s="61"/>
      <c r="I384" s="234">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1028</v>
      </c>
      <c r="B385" s="127"/>
      <c r="C385" s="37"/>
      <c r="D385" s="128" t="s">
        <v>1029</v>
      </c>
      <c r="E385" s="129"/>
      <c r="F385" s="130"/>
      <c r="G385" s="131"/>
      <c r="H385" s="130"/>
      <c r="I385" s="233"/>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18126436.6</v>
      </c>
      <c r="Y385" s="29">
        <f t="shared" si="45"/>
        <v>8052619.3999999985</v>
      </c>
    </row>
    <row r="386" spans="1:25" ht="44.25" customHeight="1">
      <c r="A386" s="18" t="s">
        <v>1030</v>
      </c>
      <c r="B386" s="127"/>
      <c r="C386" s="132"/>
      <c r="D386" s="128" t="s">
        <v>1029</v>
      </c>
      <c r="E386" s="129"/>
      <c r="F386" s="130"/>
      <c r="G386" s="131"/>
      <c r="H386" s="130"/>
      <c r="I386" s="233"/>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18126436.6</v>
      </c>
      <c r="Y386" s="29">
        <f t="shared" si="45"/>
        <v>8052619.3999999985</v>
      </c>
    </row>
    <row r="387" spans="1:25" ht="18.75">
      <c r="A387" s="293" t="s">
        <v>450</v>
      </c>
      <c r="B387" s="293" t="s">
        <v>815</v>
      </c>
      <c r="C387" s="293" t="s">
        <v>814</v>
      </c>
      <c r="D387" s="278" t="s">
        <v>1012</v>
      </c>
      <c r="E387" s="65"/>
      <c r="F387" s="65"/>
      <c r="G387" s="65"/>
      <c r="H387" s="65"/>
      <c r="I387" s="256"/>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294"/>
      <c r="B388" s="294"/>
      <c r="C388" s="294"/>
      <c r="D388" s="292"/>
      <c r="E388" s="65" t="s">
        <v>631</v>
      </c>
      <c r="F388" s="65"/>
      <c r="G388" s="65"/>
      <c r="H388" s="65"/>
      <c r="I388" s="256">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289" t="s">
        <v>316</v>
      </c>
      <c r="B389" s="289" t="s">
        <v>317</v>
      </c>
      <c r="C389" s="289" t="s">
        <v>1077</v>
      </c>
      <c r="D389" s="278" t="s">
        <v>318</v>
      </c>
      <c r="E389" s="65"/>
      <c r="F389" s="65"/>
      <c r="G389" s="65"/>
      <c r="H389" s="65"/>
      <c r="I389" s="256"/>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2466656.74</v>
      </c>
    </row>
    <row r="390" spans="1:25" ht="93.75">
      <c r="A390" s="290"/>
      <c r="B390" s="290"/>
      <c r="C390" s="290"/>
      <c r="D390" s="279"/>
      <c r="E390" s="65" t="s">
        <v>632</v>
      </c>
      <c r="F390" s="65"/>
      <c r="G390" s="65"/>
      <c r="H390" s="65"/>
      <c r="I390" s="256">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aca="true" t="shared" si="57" ref="Y390:Y453">K390+L390+M390+N390+O390+P390+Q390+R390-X390</f>
        <v>0</v>
      </c>
    </row>
    <row r="391" spans="1:25" ht="150">
      <c r="A391" s="290"/>
      <c r="B391" s="290"/>
      <c r="C391" s="290"/>
      <c r="D391" s="279"/>
      <c r="E391" s="65" t="s">
        <v>1003</v>
      </c>
      <c r="F391" s="65"/>
      <c r="G391" s="65"/>
      <c r="H391" s="65"/>
      <c r="I391" s="256">
        <v>3210</v>
      </c>
      <c r="J391" s="29">
        <v>486450</v>
      </c>
      <c r="K391" s="29"/>
      <c r="L391" s="29"/>
      <c r="M391" s="29"/>
      <c r="N391" s="29"/>
      <c r="O391" s="29"/>
      <c r="P391" s="181"/>
      <c r="Q391" s="29"/>
      <c r="R391" s="29"/>
      <c r="S391" s="29"/>
      <c r="T391" s="29">
        <v>486450</v>
      </c>
      <c r="U391" s="29"/>
      <c r="V391" s="29"/>
      <c r="W391" s="29">
        <f t="shared" si="49"/>
        <v>0</v>
      </c>
      <c r="X391" s="29"/>
      <c r="Y391" s="29">
        <f t="shared" si="57"/>
        <v>0</v>
      </c>
    </row>
    <row r="392" spans="1:25" ht="131.25">
      <c r="A392" s="290"/>
      <c r="B392" s="290"/>
      <c r="C392" s="290"/>
      <c r="D392" s="279"/>
      <c r="E392" s="65" t="s">
        <v>290</v>
      </c>
      <c r="F392" s="65"/>
      <c r="G392" s="65"/>
      <c r="H392" s="65"/>
      <c r="I392" s="256">
        <v>3210</v>
      </c>
      <c r="J392" s="29">
        <v>46000</v>
      </c>
      <c r="K392" s="29"/>
      <c r="L392" s="29"/>
      <c r="M392" s="29"/>
      <c r="N392" s="29"/>
      <c r="O392" s="29">
        <v>46000</v>
      </c>
      <c r="P392" s="181"/>
      <c r="Q392" s="29"/>
      <c r="R392" s="29"/>
      <c r="S392" s="29"/>
      <c r="T392" s="29"/>
      <c r="U392" s="29"/>
      <c r="V392" s="29"/>
      <c r="W392" s="29"/>
      <c r="X392" s="29"/>
      <c r="Y392" s="29">
        <f t="shared" si="57"/>
        <v>46000</v>
      </c>
    </row>
    <row r="393" spans="1:25" ht="131.25">
      <c r="A393" s="290"/>
      <c r="B393" s="290"/>
      <c r="C393" s="290"/>
      <c r="D393" s="279"/>
      <c r="E393" s="65" t="s">
        <v>651</v>
      </c>
      <c r="F393" s="65"/>
      <c r="G393" s="65"/>
      <c r="H393" s="65"/>
      <c r="I393" s="256">
        <v>3210</v>
      </c>
      <c r="J393" s="29">
        <v>54000</v>
      </c>
      <c r="K393" s="29"/>
      <c r="L393" s="29"/>
      <c r="M393" s="29"/>
      <c r="N393" s="29"/>
      <c r="O393" s="29">
        <v>54000</v>
      </c>
      <c r="P393" s="181"/>
      <c r="Q393" s="29"/>
      <c r="R393" s="29"/>
      <c r="S393" s="29"/>
      <c r="T393" s="29"/>
      <c r="U393" s="29"/>
      <c r="V393" s="29"/>
      <c r="W393" s="29"/>
      <c r="X393" s="29">
        <v>53000</v>
      </c>
      <c r="Y393" s="29">
        <f t="shared" si="57"/>
        <v>1000</v>
      </c>
    </row>
    <row r="394" spans="1:25" ht="93.75">
      <c r="A394" s="290"/>
      <c r="B394" s="290"/>
      <c r="C394" s="290"/>
      <c r="D394" s="279"/>
      <c r="E394" s="65" t="s">
        <v>1004</v>
      </c>
      <c r="F394" s="65"/>
      <c r="G394" s="65"/>
      <c r="H394" s="65"/>
      <c r="I394" s="256">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57"/>
        <v>1130.6399999996647</v>
      </c>
    </row>
    <row r="395" spans="1:25" ht="75">
      <c r="A395" s="290"/>
      <c r="B395" s="290"/>
      <c r="C395" s="290"/>
      <c r="D395" s="279"/>
      <c r="E395" s="65" t="s">
        <v>678</v>
      </c>
      <c r="F395" s="65"/>
      <c r="G395" s="65"/>
      <c r="H395" s="65"/>
      <c r="I395" s="256">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57"/>
        <v>318</v>
      </c>
    </row>
    <row r="396" spans="1:25" ht="56.25">
      <c r="A396" s="290"/>
      <c r="B396" s="290"/>
      <c r="C396" s="290"/>
      <c r="D396" s="279"/>
      <c r="E396" s="65" t="s">
        <v>455</v>
      </c>
      <c r="F396" s="105">
        <f>J396</f>
        <v>34592</v>
      </c>
      <c r="G396" s="114">
        <v>1</v>
      </c>
      <c r="H396" s="105">
        <f aca="true" t="shared" si="58" ref="H396:H403">J396</f>
        <v>34592</v>
      </c>
      <c r="I396" s="256">
        <v>3210</v>
      </c>
      <c r="J396" s="29">
        <v>34592</v>
      </c>
      <c r="K396" s="29"/>
      <c r="L396" s="29"/>
      <c r="M396" s="29"/>
      <c r="N396" s="181"/>
      <c r="O396" s="29"/>
      <c r="P396" s="29"/>
      <c r="Q396" s="29"/>
      <c r="R396" s="29"/>
      <c r="S396" s="29"/>
      <c r="T396" s="29"/>
      <c r="U396" s="29">
        <v>34592</v>
      </c>
      <c r="V396" s="29"/>
      <c r="W396" s="29">
        <f t="shared" si="49"/>
        <v>0</v>
      </c>
      <c r="X396" s="29"/>
      <c r="Y396" s="29">
        <f t="shared" si="57"/>
        <v>0</v>
      </c>
    </row>
    <row r="397" spans="1:25" ht="93.75">
      <c r="A397" s="290"/>
      <c r="B397" s="290"/>
      <c r="C397" s="290"/>
      <c r="D397" s="279"/>
      <c r="E397" s="65" t="s">
        <v>687</v>
      </c>
      <c r="F397" s="105">
        <f aca="true" t="shared" si="59" ref="F397:F403">J397</f>
        <v>153491</v>
      </c>
      <c r="G397" s="114">
        <v>1</v>
      </c>
      <c r="H397" s="105">
        <f t="shared" si="58"/>
        <v>153491</v>
      </c>
      <c r="I397" s="256">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57"/>
        <v>44175.20000000001</v>
      </c>
    </row>
    <row r="398" spans="1:25" ht="161.25" customHeight="1">
      <c r="A398" s="290"/>
      <c r="B398" s="290"/>
      <c r="C398" s="290"/>
      <c r="D398" s="279"/>
      <c r="E398" s="187" t="s">
        <v>354</v>
      </c>
      <c r="F398" s="199">
        <f t="shared" si="59"/>
        <v>108117</v>
      </c>
      <c r="G398" s="200">
        <v>1</v>
      </c>
      <c r="H398" s="199">
        <f t="shared" si="58"/>
        <v>108117</v>
      </c>
      <c r="I398" s="259">
        <v>3210</v>
      </c>
      <c r="J398" s="180">
        <v>108117</v>
      </c>
      <c r="K398" s="206"/>
      <c r="L398" s="180">
        <v>108117</v>
      </c>
      <c r="M398" s="180"/>
      <c r="N398" s="180"/>
      <c r="O398" s="180"/>
      <c r="P398" s="180"/>
      <c r="Q398" s="180"/>
      <c r="R398" s="180"/>
      <c r="S398" s="180"/>
      <c r="T398" s="180"/>
      <c r="U398" s="180"/>
      <c r="V398" s="180"/>
      <c r="W398" s="29">
        <f t="shared" si="49"/>
        <v>0</v>
      </c>
      <c r="X398" s="29">
        <f>5235.2+28854.93</f>
        <v>34090.13</v>
      </c>
      <c r="Y398" s="29">
        <f t="shared" si="57"/>
        <v>74026.87</v>
      </c>
    </row>
    <row r="399" spans="1:25" ht="75">
      <c r="A399" s="290"/>
      <c r="B399" s="290"/>
      <c r="C399" s="290"/>
      <c r="D399" s="279"/>
      <c r="E399" s="65" t="s">
        <v>688</v>
      </c>
      <c r="F399" s="105">
        <f t="shared" si="59"/>
        <v>6900566</v>
      </c>
      <c r="G399" s="114">
        <v>1</v>
      </c>
      <c r="H399" s="105">
        <f t="shared" si="58"/>
        <v>6900566</v>
      </c>
      <c r="I399" s="256">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57"/>
        <v>500402.69999999995</v>
      </c>
    </row>
    <row r="400" spans="1:25" ht="93.75">
      <c r="A400" s="290"/>
      <c r="B400" s="290"/>
      <c r="C400" s="290"/>
      <c r="D400" s="279"/>
      <c r="E400" s="65" t="s">
        <v>340</v>
      </c>
      <c r="F400" s="105">
        <f t="shared" si="59"/>
        <v>980979</v>
      </c>
      <c r="G400" s="114">
        <v>1</v>
      </c>
      <c r="H400" s="105">
        <f t="shared" si="58"/>
        <v>980979</v>
      </c>
      <c r="I400" s="256">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57"/>
        <v>439047</v>
      </c>
    </row>
    <row r="401" spans="1:25" ht="93.75">
      <c r="A401" s="290"/>
      <c r="B401" s="290"/>
      <c r="C401" s="290"/>
      <c r="D401" s="279"/>
      <c r="E401" s="65" t="s">
        <v>341</v>
      </c>
      <c r="F401" s="105">
        <f t="shared" si="59"/>
        <v>1333333</v>
      </c>
      <c r="G401" s="114">
        <v>1</v>
      </c>
      <c r="H401" s="105">
        <f t="shared" si="58"/>
        <v>1333333</v>
      </c>
      <c r="I401" s="256">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57"/>
        <v>840851.3</v>
      </c>
    </row>
    <row r="402" spans="1:25" ht="93.75">
      <c r="A402" s="290"/>
      <c r="B402" s="290"/>
      <c r="C402" s="290"/>
      <c r="D402" s="279"/>
      <c r="E402" s="65" t="s">
        <v>612</v>
      </c>
      <c r="F402" s="105">
        <f>J402</f>
        <v>34592</v>
      </c>
      <c r="G402" s="114">
        <v>1</v>
      </c>
      <c r="H402" s="105">
        <f>J402</f>
        <v>34592</v>
      </c>
      <c r="I402" s="256">
        <v>3210</v>
      </c>
      <c r="J402" s="29">
        <v>34592</v>
      </c>
      <c r="K402" s="29"/>
      <c r="L402" s="29"/>
      <c r="M402" s="29"/>
      <c r="N402" s="29"/>
      <c r="O402" s="29"/>
      <c r="P402" s="29"/>
      <c r="Q402" s="29"/>
      <c r="R402" s="29"/>
      <c r="S402" s="29"/>
      <c r="T402" s="29"/>
      <c r="U402" s="29"/>
      <c r="V402" s="29">
        <v>34592</v>
      </c>
      <c r="W402" s="29">
        <f t="shared" si="49"/>
        <v>0</v>
      </c>
      <c r="X402" s="29"/>
      <c r="Y402" s="29">
        <f t="shared" si="57"/>
        <v>0</v>
      </c>
    </row>
    <row r="403" spans="1:25" ht="112.5">
      <c r="A403" s="290"/>
      <c r="B403" s="290"/>
      <c r="C403" s="290"/>
      <c r="D403" s="279"/>
      <c r="E403" s="65" t="s">
        <v>611</v>
      </c>
      <c r="F403" s="105">
        <f t="shared" si="59"/>
        <v>697200</v>
      </c>
      <c r="G403" s="114">
        <v>1</v>
      </c>
      <c r="H403" s="105">
        <f t="shared" si="58"/>
        <v>697200</v>
      </c>
      <c r="I403" s="256">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t="shared" si="57"/>
        <v>519705.03</v>
      </c>
    </row>
    <row r="404" spans="1:25" ht="18.75">
      <c r="A404" s="289" t="s">
        <v>451</v>
      </c>
      <c r="B404" s="289" t="s">
        <v>81</v>
      </c>
      <c r="C404" s="289" t="s">
        <v>1078</v>
      </c>
      <c r="D404" s="278" t="s">
        <v>505</v>
      </c>
      <c r="E404" s="65"/>
      <c r="F404" s="65"/>
      <c r="G404" s="65"/>
      <c r="H404" s="65"/>
      <c r="I404" s="256"/>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7"/>
        <v>1313567.839999999</v>
      </c>
    </row>
    <row r="405" spans="1:25" ht="93.75">
      <c r="A405" s="290"/>
      <c r="B405" s="290"/>
      <c r="C405" s="290"/>
      <c r="D405" s="279"/>
      <c r="E405" s="65" t="s">
        <v>597</v>
      </c>
      <c r="F405" s="65"/>
      <c r="G405" s="65"/>
      <c r="H405" s="65"/>
      <c r="I405" s="256">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7"/>
        <v>94020.79999999981</v>
      </c>
    </row>
    <row r="406" spans="1:25" ht="81.75" customHeight="1">
      <c r="A406" s="290"/>
      <c r="B406" s="290"/>
      <c r="C406" s="290"/>
      <c r="D406" s="279"/>
      <c r="E406" s="65" t="s">
        <v>613</v>
      </c>
      <c r="F406" s="105">
        <f>J406</f>
        <v>900000</v>
      </c>
      <c r="G406" s="114">
        <v>1</v>
      </c>
      <c r="H406" s="105">
        <f aca="true" t="shared" si="61" ref="H406:H423">J406</f>
        <v>900000</v>
      </c>
      <c r="I406" s="256">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7"/>
        <v>597316.98</v>
      </c>
    </row>
    <row r="407" spans="1:25" ht="97.5" customHeight="1">
      <c r="A407" s="290"/>
      <c r="B407" s="297"/>
      <c r="C407" s="290"/>
      <c r="D407" s="279"/>
      <c r="E407" s="65" t="s">
        <v>614</v>
      </c>
      <c r="F407" s="105">
        <f>J407</f>
        <v>900000</v>
      </c>
      <c r="G407" s="114">
        <v>1</v>
      </c>
      <c r="H407" s="105">
        <f t="shared" si="61"/>
        <v>900000</v>
      </c>
      <c r="I407" s="256">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7"/>
        <v>622230.06</v>
      </c>
    </row>
    <row r="408" spans="1:25" ht="18.75">
      <c r="A408" s="289" t="s">
        <v>506</v>
      </c>
      <c r="B408" s="289" t="s">
        <v>82</v>
      </c>
      <c r="C408" s="289" t="s">
        <v>1079</v>
      </c>
      <c r="D408" s="278" t="s">
        <v>507</v>
      </c>
      <c r="E408" s="65"/>
      <c r="F408" s="65"/>
      <c r="G408" s="65"/>
      <c r="H408" s="65"/>
      <c r="I408" s="256"/>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1649813.67</v>
      </c>
      <c r="Y408" s="29">
        <f t="shared" si="57"/>
        <v>2748093.33</v>
      </c>
    </row>
    <row r="409" spans="1:25" ht="98.25" customHeight="1">
      <c r="A409" s="290"/>
      <c r="B409" s="290"/>
      <c r="C409" s="290"/>
      <c r="D409" s="279"/>
      <c r="E409" s="65" t="s">
        <v>604</v>
      </c>
      <c r="F409" s="105">
        <f aca="true" t="shared" si="63" ref="F409:F414">J409</f>
        <v>1485039</v>
      </c>
      <c r="G409" s="114">
        <v>1</v>
      </c>
      <c r="H409" s="105">
        <f t="shared" si="61"/>
        <v>1485039</v>
      </c>
      <c r="I409" s="256">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7"/>
        <v>367576.89</v>
      </c>
    </row>
    <row r="410" spans="1:25" ht="93.75">
      <c r="A410" s="290"/>
      <c r="B410" s="290"/>
      <c r="C410" s="290"/>
      <c r="D410" s="279"/>
      <c r="E410" s="65" t="s">
        <v>605</v>
      </c>
      <c r="F410" s="105">
        <f t="shared" si="63"/>
        <v>833333</v>
      </c>
      <c r="G410" s="114">
        <v>1</v>
      </c>
      <c r="H410" s="105">
        <f t="shared" si="61"/>
        <v>833333</v>
      </c>
      <c r="I410" s="256">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7"/>
        <v>585266</v>
      </c>
    </row>
    <row r="411" spans="1:25" ht="93.75">
      <c r="A411" s="290"/>
      <c r="B411" s="290"/>
      <c r="C411" s="290"/>
      <c r="D411" s="279"/>
      <c r="E411" s="65" t="s">
        <v>606</v>
      </c>
      <c r="F411" s="105">
        <f t="shared" si="63"/>
        <v>833333</v>
      </c>
      <c r="G411" s="114">
        <v>1</v>
      </c>
      <c r="H411" s="105">
        <f t="shared" si="61"/>
        <v>833333</v>
      </c>
      <c r="I411" s="256">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7"/>
        <v>563592.4</v>
      </c>
    </row>
    <row r="412" spans="1:25" ht="93.75">
      <c r="A412" s="290"/>
      <c r="B412" s="290"/>
      <c r="C412" s="290"/>
      <c r="D412" s="279"/>
      <c r="E412" s="65" t="s">
        <v>607</v>
      </c>
      <c r="F412" s="105">
        <f t="shared" si="63"/>
        <v>894950</v>
      </c>
      <c r="G412" s="114">
        <v>1</v>
      </c>
      <c r="H412" s="105">
        <f t="shared" si="61"/>
        <v>894950</v>
      </c>
      <c r="I412" s="256">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35128+234604.5+298789+60114.6</f>
        <v>628636.1</v>
      </c>
      <c r="Y412" s="29">
        <f t="shared" si="57"/>
        <v>266313.9</v>
      </c>
    </row>
    <row r="413" spans="1:25" ht="93.75">
      <c r="A413" s="290"/>
      <c r="B413" s="290"/>
      <c r="C413" s="290"/>
      <c r="D413" s="279"/>
      <c r="E413" s="65" t="s">
        <v>31</v>
      </c>
      <c r="F413" s="105">
        <f t="shared" si="63"/>
        <v>1373832</v>
      </c>
      <c r="G413" s="114">
        <v>1</v>
      </c>
      <c r="H413" s="105">
        <f t="shared" si="61"/>
        <v>1373832</v>
      </c>
      <c r="I413" s="256">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7"/>
        <v>790428.54</v>
      </c>
    </row>
    <row r="414" spans="1:25" ht="56.25">
      <c r="A414" s="290"/>
      <c r="B414" s="297"/>
      <c r="C414" s="290"/>
      <c r="D414" s="279"/>
      <c r="E414" s="65" t="s">
        <v>1143</v>
      </c>
      <c r="F414" s="105">
        <f t="shared" si="63"/>
        <v>464168</v>
      </c>
      <c r="G414" s="114">
        <v>1</v>
      </c>
      <c r="H414" s="105">
        <f t="shared" si="61"/>
        <v>464168</v>
      </c>
      <c r="I414" s="256">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7"/>
        <v>174915.59999999998</v>
      </c>
    </row>
    <row r="415" spans="1:25" ht="18.75" customHeight="1">
      <c r="A415" s="289" t="s">
        <v>452</v>
      </c>
      <c r="B415" s="289" t="s">
        <v>83</v>
      </c>
      <c r="C415" s="289" t="s">
        <v>1080</v>
      </c>
      <c r="D415" s="278" t="s">
        <v>907</v>
      </c>
      <c r="E415" s="66"/>
      <c r="F415" s="66"/>
      <c r="G415" s="66"/>
      <c r="H415" s="66"/>
      <c r="I415" s="256"/>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7"/>
        <v>328890.05999999994</v>
      </c>
    </row>
    <row r="416" spans="1:25" ht="79.5" customHeight="1">
      <c r="A416" s="290"/>
      <c r="B416" s="290"/>
      <c r="C416" s="290"/>
      <c r="D416" s="279"/>
      <c r="E416" s="66" t="s">
        <v>659</v>
      </c>
      <c r="F416" s="105">
        <f>J416</f>
        <v>372668</v>
      </c>
      <c r="G416" s="114">
        <v>1</v>
      </c>
      <c r="H416" s="105">
        <f t="shared" si="61"/>
        <v>372668</v>
      </c>
      <c r="I416" s="256">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7"/>
        <v>185086.71999999997</v>
      </c>
    </row>
    <row r="417" spans="1:25" ht="81" customHeight="1">
      <c r="A417" s="297"/>
      <c r="B417" s="297"/>
      <c r="C417" s="297"/>
      <c r="D417" s="292"/>
      <c r="E417" s="66" t="s">
        <v>9</v>
      </c>
      <c r="F417" s="105">
        <f>J417</f>
        <v>194600</v>
      </c>
      <c r="G417" s="114">
        <v>1</v>
      </c>
      <c r="H417" s="105">
        <f>J417</f>
        <v>194600</v>
      </c>
      <c r="I417" s="256">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7"/>
        <v>143803.34</v>
      </c>
    </row>
    <row r="418" spans="1:25" ht="18.75">
      <c r="A418" s="289" t="s">
        <v>19</v>
      </c>
      <c r="B418" s="42"/>
      <c r="C418" s="42"/>
      <c r="D418" s="278" t="s">
        <v>1156</v>
      </c>
      <c r="E418" s="66"/>
      <c r="F418" s="105"/>
      <c r="G418" s="114"/>
      <c r="H418" s="105"/>
      <c r="I418" s="271"/>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7"/>
        <v>552600</v>
      </c>
    </row>
    <row r="419" spans="1:25" ht="81" customHeight="1">
      <c r="A419" s="290"/>
      <c r="B419" s="42"/>
      <c r="C419" s="42"/>
      <c r="D419" s="292"/>
      <c r="E419" s="66" t="s">
        <v>1002</v>
      </c>
      <c r="F419" s="105"/>
      <c r="G419" s="114"/>
      <c r="H419" s="105"/>
      <c r="I419" s="256">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7"/>
        <v>552600</v>
      </c>
    </row>
    <row r="420" spans="1:25" ht="18.75">
      <c r="A420" s="289" t="s">
        <v>756</v>
      </c>
      <c r="B420" s="289" t="s">
        <v>84</v>
      </c>
      <c r="C420" s="289" t="s">
        <v>1077</v>
      </c>
      <c r="D420" s="278" t="s">
        <v>755</v>
      </c>
      <c r="E420" s="66"/>
      <c r="F420" s="66"/>
      <c r="G420" s="66"/>
      <c r="H420" s="66"/>
      <c r="I420" s="256"/>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406288.57</v>
      </c>
      <c r="Y420" s="29">
        <f t="shared" si="57"/>
        <v>641555.4299999999</v>
      </c>
    </row>
    <row r="421" spans="1:25" ht="157.5" customHeight="1">
      <c r="A421" s="290"/>
      <c r="B421" s="290"/>
      <c r="C421" s="290"/>
      <c r="D421" s="279"/>
      <c r="E421" s="188" t="s">
        <v>1121</v>
      </c>
      <c r="F421" s="199">
        <f>J421</f>
        <v>999199</v>
      </c>
      <c r="G421" s="200">
        <v>1</v>
      </c>
      <c r="H421" s="199">
        <f t="shared" si="61"/>
        <v>999199</v>
      </c>
      <c r="I421" s="259">
        <v>3210</v>
      </c>
      <c r="J421" s="207">
        <v>999199</v>
      </c>
      <c r="K421" s="180"/>
      <c r="L421" s="180">
        <v>999199</v>
      </c>
      <c r="M421" s="180"/>
      <c r="N421" s="180"/>
      <c r="O421" s="180"/>
      <c r="P421" s="180"/>
      <c r="Q421" s="180"/>
      <c r="R421" s="180"/>
      <c r="S421" s="180"/>
      <c r="T421" s="180"/>
      <c r="U421" s="180"/>
      <c r="V421" s="180"/>
      <c r="W421" s="29">
        <f t="shared" si="49"/>
        <v>0</v>
      </c>
      <c r="X421" s="29">
        <f>30000+327651.8</f>
        <v>357651.8</v>
      </c>
      <c r="Y421" s="29">
        <f t="shared" si="57"/>
        <v>641547.2</v>
      </c>
    </row>
    <row r="422" spans="1:25" ht="54" hidden="1">
      <c r="A422" s="290"/>
      <c r="B422" s="290"/>
      <c r="C422" s="290"/>
      <c r="D422" s="279"/>
      <c r="E422" s="66" t="s">
        <v>1002</v>
      </c>
      <c r="F422" s="105"/>
      <c r="G422" s="114"/>
      <c r="H422" s="105"/>
      <c r="I422" s="256">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7"/>
        <v>0</v>
      </c>
    </row>
    <row r="423" spans="1:25" ht="81" customHeight="1">
      <c r="A423" s="297"/>
      <c r="B423" s="297"/>
      <c r="C423" s="297"/>
      <c r="D423" s="292"/>
      <c r="E423" s="66" t="s">
        <v>168</v>
      </c>
      <c r="F423" s="105">
        <f>J423</f>
        <v>48645</v>
      </c>
      <c r="G423" s="114">
        <v>1</v>
      </c>
      <c r="H423" s="105">
        <f t="shared" si="61"/>
        <v>48645</v>
      </c>
      <c r="I423" s="256">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7"/>
        <v>8.230000000003201</v>
      </c>
    </row>
    <row r="424" spans="1:25" s="12" customFormat="1" ht="18.75">
      <c r="A424" s="293" t="s">
        <v>85</v>
      </c>
      <c r="B424" s="293" t="s">
        <v>86</v>
      </c>
      <c r="C424" s="307" t="s">
        <v>815</v>
      </c>
      <c r="D424" s="293" t="s">
        <v>281</v>
      </c>
      <c r="E424" s="67"/>
      <c r="F424" s="67"/>
      <c r="G424" s="67"/>
      <c r="H424" s="67"/>
      <c r="I424" s="258"/>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7"/>
        <v>755</v>
      </c>
    </row>
    <row r="425" spans="1:25" ht="81.75" customHeight="1">
      <c r="A425" s="294"/>
      <c r="B425" s="294"/>
      <c r="C425" s="309"/>
      <c r="D425" s="294"/>
      <c r="E425" s="66" t="s">
        <v>691</v>
      </c>
      <c r="F425" s="66"/>
      <c r="G425" s="66"/>
      <c r="H425" s="66"/>
      <c r="I425" s="257">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7"/>
        <v>755</v>
      </c>
    </row>
    <row r="426" spans="1:25" ht="37.5">
      <c r="A426" s="18" t="s">
        <v>508</v>
      </c>
      <c r="B426" s="127"/>
      <c r="C426" s="37"/>
      <c r="D426" s="128" t="s">
        <v>908</v>
      </c>
      <c r="E426" s="129"/>
      <c r="F426" s="130"/>
      <c r="G426" s="131"/>
      <c r="H426" s="130"/>
      <c r="I426" s="233"/>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2860958.2</v>
      </c>
      <c r="Y426" s="29">
        <f t="shared" si="57"/>
        <v>2486865.8</v>
      </c>
    </row>
    <row r="427" spans="1:25" ht="37.5">
      <c r="A427" s="18" t="s">
        <v>509</v>
      </c>
      <c r="B427" s="127"/>
      <c r="C427" s="132"/>
      <c r="D427" s="128" t="s">
        <v>908</v>
      </c>
      <c r="E427" s="129"/>
      <c r="F427" s="130"/>
      <c r="G427" s="131"/>
      <c r="H427" s="130"/>
      <c r="I427" s="233"/>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2860958.2</v>
      </c>
      <c r="Y427" s="29">
        <f t="shared" si="57"/>
        <v>2486865.8</v>
      </c>
    </row>
    <row r="428" spans="1:25" ht="18.75">
      <c r="A428" s="298" t="s">
        <v>871</v>
      </c>
      <c r="B428" s="293" t="s">
        <v>815</v>
      </c>
      <c r="C428" s="295" t="s">
        <v>814</v>
      </c>
      <c r="D428" s="291" t="s">
        <v>1012</v>
      </c>
      <c r="E428" s="65"/>
      <c r="F428" s="65"/>
      <c r="G428" s="65"/>
      <c r="H428" s="65"/>
      <c r="I428" s="256"/>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7"/>
        <v>0</v>
      </c>
    </row>
    <row r="429" spans="1:25" ht="56.25">
      <c r="A429" s="298"/>
      <c r="B429" s="299"/>
      <c r="C429" s="295"/>
      <c r="D429" s="291"/>
      <c r="E429" s="65" t="s">
        <v>692</v>
      </c>
      <c r="F429" s="65"/>
      <c r="G429" s="65"/>
      <c r="H429" s="65"/>
      <c r="I429" s="256">
        <v>3110</v>
      </c>
      <c r="J429" s="54">
        <v>196500</v>
      </c>
      <c r="K429" s="29"/>
      <c r="L429" s="29"/>
      <c r="M429" s="29"/>
      <c r="N429" s="29"/>
      <c r="O429" s="29"/>
      <c r="P429" s="29"/>
      <c r="Q429" s="29"/>
      <c r="R429" s="29"/>
      <c r="S429" s="29">
        <v>196500</v>
      </c>
      <c r="T429" s="29"/>
      <c r="U429" s="29"/>
      <c r="V429" s="29"/>
      <c r="W429" s="29">
        <f t="shared" si="49"/>
        <v>0</v>
      </c>
      <c r="X429" s="29"/>
      <c r="Y429" s="29">
        <f t="shared" si="57"/>
        <v>0</v>
      </c>
    </row>
    <row r="430" spans="1:25" ht="93.75">
      <c r="A430" s="298"/>
      <c r="B430" s="299"/>
      <c r="C430" s="295"/>
      <c r="D430" s="291"/>
      <c r="E430" s="65" t="s">
        <v>555</v>
      </c>
      <c r="F430" s="65"/>
      <c r="G430" s="65"/>
      <c r="H430" s="65"/>
      <c r="I430" s="256">
        <v>3110</v>
      </c>
      <c r="J430" s="54">
        <v>200000</v>
      </c>
      <c r="K430" s="29"/>
      <c r="L430" s="29"/>
      <c r="M430" s="29"/>
      <c r="N430" s="29"/>
      <c r="O430" s="29"/>
      <c r="P430" s="29"/>
      <c r="Q430" s="29"/>
      <c r="R430" s="29"/>
      <c r="S430" s="29"/>
      <c r="T430" s="29">
        <v>200000</v>
      </c>
      <c r="U430" s="29"/>
      <c r="V430" s="29"/>
      <c r="W430" s="29">
        <f t="shared" si="49"/>
        <v>0</v>
      </c>
      <c r="X430" s="29"/>
      <c r="Y430" s="29">
        <f t="shared" si="57"/>
        <v>0</v>
      </c>
    </row>
    <row r="431" spans="1:25" ht="56.25" customHeight="1" hidden="1">
      <c r="A431" s="298"/>
      <c r="B431" s="299"/>
      <c r="C431" s="295"/>
      <c r="D431" s="291"/>
      <c r="E431" s="65" t="s">
        <v>693</v>
      </c>
      <c r="F431" s="65"/>
      <c r="G431" s="65"/>
      <c r="H431" s="65"/>
      <c r="I431" s="256">
        <v>3110</v>
      </c>
      <c r="J431" s="54">
        <f>100000-100000</f>
        <v>0</v>
      </c>
      <c r="K431" s="29"/>
      <c r="L431" s="29"/>
      <c r="M431" s="29"/>
      <c r="N431" s="29"/>
      <c r="O431" s="29"/>
      <c r="P431" s="29"/>
      <c r="Q431" s="29"/>
      <c r="R431" s="29"/>
      <c r="S431" s="29"/>
      <c r="T431" s="29">
        <f>100000-100000</f>
        <v>0</v>
      </c>
      <c r="U431" s="29"/>
      <c r="V431" s="29"/>
      <c r="W431" s="29">
        <f t="shared" si="49"/>
        <v>0</v>
      </c>
      <c r="X431" s="29"/>
      <c r="Y431" s="29">
        <f t="shared" si="57"/>
        <v>0</v>
      </c>
    </row>
    <row r="432" spans="1:25" ht="120.75" customHeight="1" hidden="1">
      <c r="A432" s="298"/>
      <c r="B432" s="299"/>
      <c r="C432" s="295"/>
      <c r="D432" s="291"/>
      <c r="E432" s="65" t="s">
        <v>694</v>
      </c>
      <c r="F432" s="65"/>
      <c r="G432" s="65"/>
      <c r="H432" s="65"/>
      <c r="I432" s="256">
        <v>3110</v>
      </c>
      <c r="J432" s="54">
        <f>100000-100000</f>
        <v>0</v>
      </c>
      <c r="K432" s="29"/>
      <c r="L432" s="29"/>
      <c r="M432" s="29"/>
      <c r="N432" s="29"/>
      <c r="O432" s="29"/>
      <c r="P432" s="29"/>
      <c r="Q432" s="29"/>
      <c r="R432" s="29"/>
      <c r="S432" s="29"/>
      <c r="T432" s="29">
        <f>100000-100000</f>
        <v>0</v>
      </c>
      <c r="U432" s="29"/>
      <c r="V432" s="29"/>
      <c r="W432" s="29">
        <f t="shared" si="49"/>
        <v>0</v>
      </c>
      <c r="X432" s="29"/>
      <c r="Y432" s="29">
        <f t="shared" si="57"/>
        <v>0</v>
      </c>
    </row>
    <row r="433" spans="1:25" ht="36" hidden="1">
      <c r="A433" s="298"/>
      <c r="B433" s="299"/>
      <c r="C433" s="295"/>
      <c r="D433" s="291"/>
      <c r="E433" s="65" t="s">
        <v>695</v>
      </c>
      <c r="F433" s="65"/>
      <c r="G433" s="65"/>
      <c r="H433" s="65"/>
      <c r="I433" s="256"/>
      <c r="J433" s="54"/>
      <c r="K433" s="29"/>
      <c r="L433" s="29"/>
      <c r="M433" s="29"/>
      <c r="N433" s="29"/>
      <c r="O433" s="29"/>
      <c r="P433" s="29"/>
      <c r="Q433" s="29"/>
      <c r="R433" s="29"/>
      <c r="S433" s="29"/>
      <c r="T433" s="29"/>
      <c r="U433" s="29"/>
      <c r="V433" s="29"/>
      <c r="W433" s="29">
        <f t="shared" si="49"/>
        <v>0</v>
      </c>
      <c r="X433" s="29"/>
      <c r="Y433" s="29">
        <f t="shared" si="57"/>
        <v>0</v>
      </c>
    </row>
    <row r="434" spans="1:25" ht="56.25">
      <c r="A434" s="298"/>
      <c r="B434" s="299"/>
      <c r="C434" s="295"/>
      <c r="D434" s="291"/>
      <c r="E434" s="65" t="s">
        <v>185</v>
      </c>
      <c r="F434" s="65"/>
      <c r="G434" s="65"/>
      <c r="H434" s="65"/>
      <c r="I434" s="256">
        <v>3110</v>
      </c>
      <c r="J434" s="54">
        <v>91500</v>
      </c>
      <c r="K434" s="29"/>
      <c r="L434" s="29"/>
      <c r="M434" s="29"/>
      <c r="N434" s="29"/>
      <c r="O434" s="29"/>
      <c r="P434" s="29"/>
      <c r="Q434" s="29"/>
      <c r="R434" s="29"/>
      <c r="S434" s="29"/>
      <c r="T434" s="29"/>
      <c r="U434" s="29">
        <v>91500</v>
      </c>
      <c r="V434" s="29"/>
      <c r="W434" s="29">
        <f t="shared" si="49"/>
        <v>0</v>
      </c>
      <c r="X434" s="29"/>
      <c r="Y434" s="29">
        <f t="shared" si="57"/>
        <v>0</v>
      </c>
    </row>
    <row r="435" spans="1:25" ht="56.25">
      <c r="A435" s="298"/>
      <c r="B435" s="294"/>
      <c r="C435" s="295"/>
      <c r="D435" s="291"/>
      <c r="E435" s="65" t="s">
        <v>1165</v>
      </c>
      <c r="F435" s="65"/>
      <c r="G435" s="65"/>
      <c r="H435" s="65"/>
      <c r="I435" s="256">
        <v>3110</v>
      </c>
      <c r="J435" s="54">
        <v>380000</v>
      </c>
      <c r="K435" s="29"/>
      <c r="L435" s="29"/>
      <c r="M435" s="29"/>
      <c r="N435" s="29"/>
      <c r="O435" s="29"/>
      <c r="P435" s="29"/>
      <c r="Q435" s="29"/>
      <c r="R435" s="29"/>
      <c r="S435" s="29"/>
      <c r="T435" s="29">
        <v>380000</v>
      </c>
      <c r="U435" s="29"/>
      <c r="V435" s="29"/>
      <c r="W435" s="29">
        <f t="shared" si="49"/>
        <v>0</v>
      </c>
      <c r="X435" s="29"/>
      <c r="Y435" s="29">
        <f t="shared" si="57"/>
        <v>0</v>
      </c>
    </row>
    <row r="436" spans="1:25" ht="18.75">
      <c r="A436" s="298" t="s">
        <v>872</v>
      </c>
      <c r="B436" s="293" t="s">
        <v>891</v>
      </c>
      <c r="C436" s="295" t="s">
        <v>819</v>
      </c>
      <c r="D436" s="291" t="s">
        <v>1149</v>
      </c>
      <c r="E436" s="65"/>
      <c r="F436" s="65"/>
      <c r="G436" s="65"/>
      <c r="H436" s="65"/>
      <c r="I436" s="256"/>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7"/>
        <v>106000</v>
      </c>
    </row>
    <row r="437" spans="1:25" ht="37.5">
      <c r="A437" s="298"/>
      <c r="B437" s="299"/>
      <c r="C437" s="295"/>
      <c r="D437" s="291"/>
      <c r="E437" s="65" t="s">
        <v>1166</v>
      </c>
      <c r="F437" s="65"/>
      <c r="G437" s="65"/>
      <c r="H437" s="65"/>
      <c r="I437" s="256">
        <v>3110</v>
      </c>
      <c r="J437" s="54">
        <v>1300000</v>
      </c>
      <c r="K437" s="29"/>
      <c r="L437" s="29"/>
      <c r="M437" s="29"/>
      <c r="N437" s="29"/>
      <c r="O437" s="29"/>
      <c r="P437" s="29"/>
      <c r="Q437" s="29"/>
      <c r="R437" s="29"/>
      <c r="S437" s="29"/>
      <c r="T437" s="29"/>
      <c r="U437" s="29">
        <v>338400</v>
      </c>
      <c r="V437" s="29">
        <v>961600</v>
      </c>
      <c r="W437" s="29">
        <f t="shared" si="49"/>
        <v>0</v>
      </c>
      <c r="X437" s="29"/>
      <c r="Y437" s="29">
        <f t="shared" si="57"/>
        <v>0</v>
      </c>
    </row>
    <row r="438" spans="1:25" ht="195" customHeight="1">
      <c r="A438" s="298"/>
      <c r="B438" s="294"/>
      <c r="C438" s="295"/>
      <c r="D438" s="291"/>
      <c r="E438" s="65" t="s">
        <v>989</v>
      </c>
      <c r="F438" s="105">
        <f>J438</f>
        <v>106000</v>
      </c>
      <c r="G438" s="114">
        <v>1</v>
      </c>
      <c r="H438" s="105">
        <f>J438</f>
        <v>106000</v>
      </c>
      <c r="I438" s="223">
        <v>3132</v>
      </c>
      <c r="J438" s="54">
        <v>106000</v>
      </c>
      <c r="K438" s="29"/>
      <c r="L438" s="29"/>
      <c r="M438" s="29">
        <v>106000</v>
      </c>
      <c r="N438" s="29"/>
      <c r="O438" s="29"/>
      <c r="P438" s="29"/>
      <c r="Q438" s="29"/>
      <c r="R438" s="29"/>
      <c r="S438" s="29"/>
      <c r="T438" s="29"/>
      <c r="U438" s="29"/>
      <c r="V438" s="29"/>
      <c r="W438" s="29">
        <f t="shared" si="49"/>
        <v>0</v>
      </c>
      <c r="X438" s="29"/>
      <c r="Y438" s="29">
        <f t="shared" si="57"/>
        <v>106000</v>
      </c>
    </row>
    <row r="439" spans="1:25" ht="18.75">
      <c r="A439" s="293" t="s">
        <v>510</v>
      </c>
      <c r="B439" s="293" t="s">
        <v>990</v>
      </c>
      <c r="C439" s="293" t="s">
        <v>511</v>
      </c>
      <c r="D439" s="278" t="s">
        <v>512</v>
      </c>
      <c r="E439" s="65"/>
      <c r="F439" s="65"/>
      <c r="G439" s="65"/>
      <c r="H439" s="65"/>
      <c r="I439" s="256"/>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7"/>
        <v>400</v>
      </c>
    </row>
    <row r="440" spans="1:25" ht="119.25" customHeight="1">
      <c r="A440" s="294"/>
      <c r="B440" s="294"/>
      <c r="C440" s="294"/>
      <c r="D440" s="292"/>
      <c r="E440" s="187" t="s">
        <v>942</v>
      </c>
      <c r="F440" s="187"/>
      <c r="G440" s="187"/>
      <c r="H440" s="187"/>
      <c r="I440" s="259">
        <v>3110</v>
      </c>
      <c r="J440" s="180">
        <v>40000</v>
      </c>
      <c r="K440" s="180"/>
      <c r="L440" s="180">
        <v>40000</v>
      </c>
      <c r="M440" s="180"/>
      <c r="N440" s="180"/>
      <c r="O440" s="180"/>
      <c r="P440" s="180"/>
      <c r="Q440" s="180"/>
      <c r="R440" s="180"/>
      <c r="S440" s="180"/>
      <c r="T440" s="180"/>
      <c r="U440" s="180"/>
      <c r="V440" s="180"/>
      <c r="W440" s="29">
        <f t="shared" si="49"/>
        <v>0</v>
      </c>
      <c r="X440" s="29">
        <v>39600</v>
      </c>
      <c r="Y440" s="29">
        <f t="shared" si="57"/>
        <v>400</v>
      </c>
    </row>
    <row r="441" spans="1:25" ht="18.75">
      <c r="A441" s="296" t="s">
        <v>837</v>
      </c>
      <c r="B441" s="289" t="s">
        <v>991</v>
      </c>
      <c r="C441" s="296" t="s">
        <v>1167</v>
      </c>
      <c r="D441" s="291" t="s">
        <v>836</v>
      </c>
      <c r="E441" s="65"/>
      <c r="F441" s="65"/>
      <c r="G441" s="65"/>
      <c r="H441" s="65"/>
      <c r="I441" s="256"/>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7"/>
        <v>2380465.8</v>
      </c>
    </row>
    <row r="442" spans="1:25" ht="117.75" customHeight="1">
      <c r="A442" s="296"/>
      <c r="B442" s="290"/>
      <c r="C442" s="296"/>
      <c r="D442" s="291"/>
      <c r="E442" s="65" t="s">
        <v>418</v>
      </c>
      <c r="F442" s="65"/>
      <c r="G442" s="65"/>
      <c r="H442" s="65"/>
      <c r="I442" s="256">
        <v>3110</v>
      </c>
      <c r="J442" s="54">
        <v>61000</v>
      </c>
      <c r="K442" s="29"/>
      <c r="L442" s="29"/>
      <c r="M442" s="29"/>
      <c r="N442" s="29"/>
      <c r="O442" s="29"/>
      <c r="P442" s="29"/>
      <c r="Q442" s="29"/>
      <c r="R442" s="29"/>
      <c r="S442" s="29">
        <v>45900</v>
      </c>
      <c r="T442" s="29">
        <v>15100</v>
      </c>
      <c r="U442" s="29"/>
      <c r="V442" s="29"/>
      <c r="W442" s="29">
        <f t="shared" si="49"/>
        <v>0</v>
      </c>
      <c r="X442" s="29"/>
      <c r="Y442" s="29">
        <f t="shared" si="57"/>
        <v>0</v>
      </c>
    </row>
    <row r="443" spans="1:25" ht="93.75">
      <c r="A443" s="296"/>
      <c r="B443" s="290"/>
      <c r="C443" s="296"/>
      <c r="D443" s="291"/>
      <c r="E443" s="65" t="s">
        <v>419</v>
      </c>
      <c r="F443" s="65"/>
      <c r="G443" s="65"/>
      <c r="H443" s="65"/>
      <c r="I443" s="256">
        <v>3110</v>
      </c>
      <c r="J443" s="54">
        <v>19000</v>
      </c>
      <c r="K443" s="29"/>
      <c r="L443" s="29"/>
      <c r="M443" s="29">
        <v>19000</v>
      </c>
      <c r="N443" s="29"/>
      <c r="O443" s="29"/>
      <c r="P443" s="29"/>
      <c r="Q443" s="29"/>
      <c r="R443" s="29"/>
      <c r="S443" s="29"/>
      <c r="T443" s="29"/>
      <c r="U443" s="29"/>
      <c r="V443" s="29"/>
      <c r="W443" s="29">
        <f t="shared" si="49"/>
        <v>0</v>
      </c>
      <c r="X443" s="29">
        <v>18700</v>
      </c>
      <c r="Y443" s="29">
        <f t="shared" si="57"/>
        <v>300</v>
      </c>
    </row>
    <row r="444" spans="1:25" ht="93.75">
      <c r="A444" s="296"/>
      <c r="B444" s="290"/>
      <c r="C444" s="296"/>
      <c r="D444" s="291"/>
      <c r="E444" s="65" t="s">
        <v>420</v>
      </c>
      <c r="F444" s="65"/>
      <c r="G444" s="65"/>
      <c r="H444" s="65"/>
      <c r="I444" s="256">
        <v>3110</v>
      </c>
      <c r="J444" s="54">
        <v>18000</v>
      </c>
      <c r="K444" s="29"/>
      <c r="L444" s="29"/>
      <c r="M444" s="29">
        <v>18000</v>
      </c>
      <c r="N444" s="29"/>
      <c r="O444" s="29"/>
      <c r="P444" s="29"/>
      <c r="Q444" s="29"/>
      <c r="R444" s="29"/>
      <c r="S444" s="29"/>
      <c r="T444" s="29"/>
      <c r="U444" s="29"/>
      <c r="V444" s="29"/>
      <c r="W444" s="29">
        <f t="shared" si="49"/>
        <v>0</v>
      </c>
      <c r="X444" s="29">
        <v>17950</v>
      </c>
      <c r="Y444" s="29">
        <f t="shared" si="57"/>
        <v>50</v>
      </c>
    </row>
    <row r="445" spans="1:25" ht="97.5" customHeight="1">
      <c r="A445" s="296"/>
      <c r="B445" s="290"/>
      <c r="C445" s="296"/>
      <c r="D445" s="291"/>
      <c r="E445" s="65" t="s">
        <v>339</v>
      </c>
      <c r="F445" s="65"/>
      <c r="G445" s="65"/>
      <c r="H445" s="65"/>
      <c r="I445" s="256">
        <v>3110</v>
      </c>
      <c r="J445" s="54">
        <v>18000</v>
      </c>
      <c r="K445" s="29"/>
      <c r="L445" s="29"/>
      <c r="M445" s="29">
        <v>18000</v>
      </c>
      <c r="N445" s="29"/>
      <c r="O445" s="29"/>
      <c r="P445" s="29"/>
      <c r="Q445" s="29"/>
      <c r="R445" s="29"/>
      <c r="S445" s="29"/>
      <c r="T445" s="29"/>
      <c r="U445" s="29"/>
      <c r="V445" s="29"/>
      <c r="W445" s="29">
        <f t="shared" si="49"/>
        <v>0</v>
      </c>
      <c r="X445" s="29">
        <v>18000</v>
      </c>
      <c r="Y445" s="29">
        <f t="shared" si="57"/>
        <v>0</v>
      </c>
    </row>
    <row r="446" spans="1:25" ht="115.5" customHeight="1">
      <c r="A446" s="296"/>
      <c r="B446" s="290"/>
      <c r="C446" s="296"/>
      <c r="D446" s="291"/>
      <c r="E446" s="65" t="s">
        <v>746</v>
      </c>
      <c r="F446" s="65"/>
      <c r="G446" s="65"/>
      <c r="H446" s="65"/>
      <c r="I446" s="256">
        <v>3110</v>
      </c>
      <c r="J446" s="54">
        <v>75000</v>
      </c>
      <c r="K446" s="29"/>
      <c r="L446" s="29"/>
      <c r="M446" s="29"/>
      <c r="N446" s="29"/>
      <c r="O446" s="29"/>
      <c r="P446" s="29"/>
      <c r="Q446" s="29"/>
      <c r="R446" s="29"/>
      <c r="S446" s="29"/>
      <c r="T446" s="29">
        <v>34900</v>
      </c>
      <c r="U446" s="29">
        <v>40100</v>
      </c>
      <c r="V446" s="29"/>
      <c r="W446" s="29">
        <f t="shared" si="49"/>
        <v>0</v>
      </c>
      <c r="X446" s="29"/>
      <c r="Y446" s="29">
        <f t="shared" si="57"/>
        <v>0</v>
      </c>
    </row>
    <row r="447" spans="1:25" ht="75">
      <c r="A447" s="296"/>
      <c r="B447" s="290"/>
      <c r="C447" s="296"/>
      <c r="D447" s="291"/>
      <c r="E447" s="65" t="s">
        <v>182</v>
      </c>
      <c r="F447" s="65"/>
      <c r="G447" s="65"/>
      <c r="H447" s="65"/>
      <c r="I447" s="256">
        <v>3110</v>
      </c>
      <c r="J447" s="54">
        <v>45000</v>
      </c>
      <c r="K447" s="29"/>
      <c r="L447" s="29"/>
      <c r="M447" s="29"/>
      <c r="N447" s="29"/>
      <c r="O447" s="29"/>
      <c r="P447" s="29"/>
      <c r="Q447" s="29"/>
      <c r="R447" s="29"/>
      <c r="S447" s="29"/>
      <c r="T447" s="29"/>
      <c r="U447" s="29">
        <v>45000</v>
      </c>
      <c r="V447" s="29"/>
      <c r="W447" s="29">
        <f t="shared" si="49"/>
        <v>0</v>
      </c>
      <c r="X447" s="29"/>
      <c r="Y447" s="29">
        <f t="shared" si="57"/>
        <v>0</v>
      </c>
    </row>
    <row r="448" spans="1:25" ht="112.5">
      <c r="A448" s="296"/>
      <c r="B448" s="290"/>
      <c r="C448" s="296"/>
      <c r="D448" s="291"/>
      <c r="E448" s="65" t="s">
        <v>184</v>
      </c>
      <c r="F448" s="65"/>
      <c r="G448" s="65"/>
      <c r="H448" s="65"/>
      <c r="I448" s="256">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7"/>
        <v>0</v>
      </c>
    </row>
    <row r="449" spans="1:25" ht="93.75">
      <c r="A449" s="296"/>
      <c r="B449" s="290"/>
      <c r="C449" s="296"/>
      <c r="D449" s="291"/>
      <c r="E449" s="65" t="s">
        <v>183</v>
      </c>
      <c r="F449" s="65"/>
      <c r="G449" s="65"/>
      <c r="H449" s="65"/>
      <c r="I449" s="256">
        <v>3110</v>
      </c>
      <c r="J449" s="54">
        <v>195000</v>
      </c>
      <c r="K449" s="29"/>
      <c r="L449" s="29"/>
      <c r="M449" s="29"/>
      <c r="N449" s="29"/>
      <c r="O449" s="29"/>
      <c r="P449" s="29"/>
      <c r="Q449" s="29"/>
      <c r="R449" s="29"/>
      <c r="S449" s="29"/>
      <c r="T449" s="29"/>
      <c r="U449" s="29">
        <v>195000</v>
      </c>
      <c r="V449" s="29"/>
      <c r="W449" s="29">
        <f t="shared" si="74"/>
        <v>0</v>
      </c>
      <c r="X449" s="29"/>
      <c r="Y449" s="29">
        <f t="shared" si="57"/>
        <v>0</v>
      </c>
    </row>
    <row r="450" spans="1:25" ht="102.75" customHeight="1">
      <c r="A450" s="296"/>
      <c r="B450" s="290"/>
      <c r="C450" s="296"/>
      <c r="D450" s="291"/>
      <c r="E450" s="65" t="s">
        <v>1152</v>
      </c>
      <c r="F450" s="65"/>
      <c r="G450" s="65"/>
      <c r="H450" s="65"/>
      <c r="I450" s="256">
        <v>3110</v>
      </c>
      <c r="J450" s="54">
        <v>195000</v>
      </c>
      <c r="K450" s="29"/>
      <c r="L450" s="29"/>
      <c r="M450" s="29"/>
      <c r="N450" s="29"/>
      <c r="O450" s="29"/>
      <c r="P450" s="29"/>
      <c r="Q450" s="29"/>
      <c r="R450" s="29"/>
      <c r="S450" s="29"/>
      <c r="T450" s="29"/>
      <c r="U450" s="29">
        <v>195000</v>
      </c>
      <c r="V450" s="29"/>
      <c r="W450" s="29">
        <f t="shared" si="74"/>
        <v>0</v>
      </c>
      <c r="X450" s="29"/>
      <c r="Y450" s="29">
        <f t="shared" si="57"/>
        <v>0</v>
      </c>
    </row>
    <row r="451" spans="1:25" ht="54" hidden="1">
      <c r="A451" s="296"/>
      <c r="B451" s="290"/>
      <c r="C451" s="296"/>
      <c r="D451" s="291"/>
      <c r="E451" s="65" t="s">
        <v>1100</v>
      </c>
      <c r="F451" s="65"/>
      <c r="G451" s="65"/>
      <c r="H451" s="65"/>
      <c r="I451" s="256"/>
      <c r="J451" s="54"/>
      <c r="K451" s="29"/>
      <c r="L451" s="29"/>
      <c r="M451" s="29"/>
      <c r="N451" s="29"/>
      <c r="O451" s="29"/>
      <c r="P451" s="29"/>
      <c r="Q451" s="29"/>
      <c r="R451" s="29"/>
      <c r="S451" s="29"/>
      <c r="T451" s="29"/>
      <c r="U451" s="29"/>
      <c r="V451" s="29"/>
      <c r="W451" s="29">
        <f t="shared" si="74"/>
        <v>0</v>
      </c>
      <c r="X451" s="29"/>
      <c r="Y451" s="29">
        <f t="shared" si="57"/>
        <v>0</v>
      </c>
    </row>
    <row r="452" spans="1:25" ht="36" hidden="1">
      <c r="A452" s="296"/>
      <c r="B452" s="290"/>
      <c r="C452" s="296"/>
      <c r="D452" s="291"/>
      <c r="E452" s="65" t="s">
        <v>1109</v>
      </c>
      <c r="F452" s="65"/>
      <c r="G452" s="65"/>
      <c r="H452" s="65"/>
      <c r="I452" s="256"/>
      <c r="J452" s="54"/>
      <c r="K452" s="29"/>
      <c r="L452" s="29"/>
      <c r="M452" s="29"/>
      <c r="N452" s="29"/>
      <c r="O452" s="29"/>
      <c r="P452" s="29"/>
      <c r="Q452" s="29"/>
      <c r="R452" s="29"/>
      <c r="S452" s="29"/>
      <c r="T452" s="29"/>
      <c r="U452" s="29"/>
      <c r="V452" s="29"/>
      <c r="W452" s="29">
        <f t="shared" si="74"/>
        <v>0</v>
      </c>
      <c r="X452" s="29"/>
      <c r="Y452" s="29">
        <f t="shared" si="57"/>
        <v>0</v>
      </c>
    </row>
    <row r="453" spans="1:25" ht="93.75">
      <c r="A453" s="296"/>
      <c r="B453" s="290"/>
      <c r="C453" s="296"/>
      <c r="D453" s="291"/>
      <c r="E453" s="65" t="s">
        <v>181</v>
      </c>
      <c r="F453" s="105">
        <f>J453</f>
        <v>1143800</v>
      </c>
      <c r="G453" s="114">
        <v>1</v>
      </c>
      <c r="H453" s="105">
        <f>J453</f>
        <v>1143800</v>
      </c>
      <c r="I453" s="223">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7"/>
        <v>1143800</v>
      </c>
    </row>
    <row r="454" spans="1:25" ht="131.25">
      <c r="A454" s="296"/>
      <c r="B454" s="290"/>
      <c r="C454" s="296"/>
      <c r="D454" s="291"/>
      <c r="E454" s="65" t="s">
        <v>915</v>
      </c>
      <c r="F454" s="105">
        <f>J454</f>
        <v>998000</v>
      </c>
      <c r="G454" s="114">
        <v>1</v>
      </c>
      <c r="H454" s="105">
        <f>J454</f>
        <v>998000</v>
      </c>
      <c r="I454" s="223">
        <v>3132</v>
      </c>
      <c r="J454" s="54">
        <v>998000</v>
      </c>
      <c r="K454" s="29"/>
      <c r="L454" s="29"/>
      <c r="M454" s="29"/>
      <c r="N454" s="29"/>
      <c r="O454" s="29"/>
      <c r="P454" s="29"/>
      <c r="Q454" s="29">
        <v>300000</v>
      </c>
      <c r="R454" s="29">
        <v>589000</v>
      </c>
      <c r="S454" s="29">
        <v>109000</v>
      </c>
      <c r="T454" s="29"/>
      <c r="U454" s="29"/>
      <c r="V454" s="29"/>
      <c r="W454" s="29">
        <f t="shared" si="74"/>
        <v>0</v>
      </c>
      <c r="X454" s="29"/>
      <c r="Y454" s="29">
        <f aca="true" t="shared" si="75" ref="Y454:Y517">K454+L454+M454+N454+O454+P454+Q454+R454-X454</f>
        <v>889000</v>
      </c>
    </row>
    <row r="455" spans="1:25" ht="131.25">
      <c r="A455" s="296"/>
      <c r="B455" s="290"/>
      <c r="C455" s="296"/>
      <c r="D455" s="291"/>
      <c r="E455" s="65" t="s">
        <v>916</v>
      </c>
      <c r="F455" s="105">
        <f>J455</f>
        <v>130225</v>
      </c>
      <c r="G455" s="114">
        <v>1</v>
      </c>
      <c r="H455" s="105">
        <f>J455</f>
        <v>130225</v>
      </c>
      <c r="I455" s="223">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75"/>
        <v>27315.8</v>
      </c>
    </row>
    <row r="456" spans="1:25" ht="136.5" customHeight="1">
      <c r="A456" s="296"/>
      <c r="B456" s="297"/>
      <c r="C456" s="296"/>
      <c r="D456" s="291"/>
      <c r="E456" s="65" t="s">
        <v>978</v>
      </c>
      <c r="F456" s="105">
        <f>J456</f>
        <v>320000</v>
      </c>
      <c r="G456" s="114">
        <v>1</v>
      </c>
      <c r="H456" s="105">
        <f>J456</f>
        <v>320000</v>
      </c>
      <c r="I456" s="223">
        <v>3132</v>
      </c>
      <c r="J456" s="54">
        <v>320000</v>
      </c>
      <c r="K456" s="29"/>
      <c r="L456" s="29"/>
      <c r="M456" s="29"/>
      <c r="N456" s="29"/>
      <c r="O456" s="29"/>
      <c r="P456" s="29"/>
      <c r="Q456" s="29">
        <v>194000</v>
      </c>
      <c r="R456" s="29">
        <v>126000</v>
      </c>
      <c r="S456" s="29"/>
      <c r="T456" s="29"/>
      <c r="U456" s="29"/>
      <c r="V456" s="29"/>
      <c r="W456" s="29">
        <f t="shared" si="74"/>
        <v>0</v>
      </c>
      <c r="X456" s="29"/>
      <c r="Y456" s="29">
        <f t="shared" si="75"/>
        <v>320000</v>
      </c>
    </row>
    <row r="457" spans="1:25" ht="409.5">
      <c r="A457" s="44" t="s">
        <v>913</v>
      </c>
      <c r="B457" s="56" t="s">
        <v>914</v>
      </c>
      <c r="C457" s="44" t="s">
        <v>891</v>
      </c>
      <c r="D457" s="276" t="s">
        <v>201</v>
      </c>
      <c r="E457" s="86" t="s">
        <v>202</v>
      </c>
      <c r="F457" s="105">
        <f>J457</f>
        <v>3439172</v>
      </c>
      <c r="G457" s="114"/>
      <c r="H457" s="105">
        <f>J457</f>
        <v>3439172</v>
      </c>
      <c r="I457" s="223">
        <v>3240</v>
      </c>
      <c r="J457" s="54">
        <v>3439172</v>
      </c>
      <c r="K457" s="29"/>
      <c r="L457" s="29"/>
      <c r="M457" s="29"/>
      <c r="N457" s="29"/>
      <c r="O457" s="29"/>
      <c r="P457" s="29">
        <v>429894</v>
      </c>
      <c r="Q457" s="29">
        <v>458930</v>
      </c>
      <c r="R457" s="29">
        <v>1649000</v>
      </c>
      <c r="S457" s="29">
        <v>901348</v>
      </c>
      <c r="T457" s="31"/>
      <c r="U457" s="31"/>
      <c r="V457" s="31"/>
      <c r="W457" s="29">
        <f t="shared" si="74"/>
        <v>0</v>
      </c>
      <c r="X457" s="29">
        <f>888824+1649000</f>
        <v>2537824</v>
      </c>
      <c r="Y457" s="29">
        <f t="shared" si="75"/>
        <v>0</v>
      </c>
    </row>
    <row r="458" spans="1:25" ht="37.5">
      <c r="A458" s="96" t="s">
        <v>838</v>
      </c>
      <c r="B458" s="68"/>
      <c r="C458" s="68"/>
      <c r="D458" s="69" t="s">
        <v>839</v>
      </c>
      <c r="E458" s="62"/>
      <c r="F458" s="62"/>
      <c r="G458" s="62"/>
      <c r="H458" s="62"/>
      <c r="I458" s="260"/>
      <c r="J458" s="70">
        <f>J460</f>
        <v>105000</v>
      </c>
      <c r="K458" s="70">
        <f aca="true" t="shared" si="76" ref="K458:V458">K460</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W460</f>
        <v>0</v>
      </c>
      <c r="X458" s="70">
        <f>X460</f>
        <v>0</v>
      </c>
      <c r="Y458" s="29">
        <f t="shared" si="75"/>
        <v>85000</v>
      </c>
    </row>
    <row r="459" spans="1:25" ht="37.5">
      <c r="A459" s="96" t="s">
        <v>840</v>
      </c>
      <c r="B459" s="68"/>
      <c r="C459" s="68"/>
      <c r="D459" s="69" t="s">
        <v>839</v>
      </c>
      <c r="E459" s="62"/>
      <c r="F459" s="62"/>
      <c r="G459" s="62"/>
      <c r="H459" s="62"/>
      <c r="I459" s="260"/>
      <c r="J459" s="70">
        <f>J458</f>
        <v>105000</v>
      </c>
      <c r="K459" s="70">
        <f aca="true" t="shared" si="77" ref="K459:V459">K458</f>
        <v>0</v>
      </c>
      <c r="L459" s="70">
        <f t="shared" si="77"/>
        <v>0</v>
      </c>
      <c r="M459" s="70">
        <f t="shared" si="77"/>
        <v>0</v>
      </c>
      <c r="N459" s="70">
        <f t="shared" si="77"/>
        <v>15000</v>
      </c>
      <c r="O459" s="70">
        <f t="shared" si="77"/>
        <v>15000</v>
      </c>
      <c r="P459" s="70">
        <f t="shared" si="77"/>
        <v>25000</v>
      </c>
      <c r="Q459" s="70">
        <f t="shared" si="77"/>
        <v>0</v>
      </c>
      <c r="R459" s="70">
        <f t="shared" si="77"/>
        <v>30000</v>
      </c>
      <c r="S459" s="70">
        <f t="shared" si="77"/>
        <v>20000</v>
      </c>
      <c r="T459" s="70">
        <f t="shared" si="77"/>
        <v>0</v>
      </c>
      <c r="U459" s="70">
        <f t="shared" si="77"/>
        <v>0</v>
      </c>
      <c r="V459" s="70">
        <f t="shared" si="77"/>
        <v>0</v>
      </c>
      <c r="W459" s="70">
        <f>W458</f>
        <v>0</v>
      </c>
      <c r="X459" s="70">
        <f>X458</f>
        <v>0</v>
      </c>
      <c r="Y459" s="29">
        <f t="shared" si="75"/>
        <v>85000</v>
      </c>
    </row>
    <row r="460" spans="1:25" ht="18.75">
      <c r="A460" s="296" t="s">
        <v>841</v>
      </c>
      <c r="B460" s="289" t="s">
        <v>815</v>
      </c>
      <c r="C460" s="296" t="s">
        <v>814</v>
      </c>
      <c r="D460" s="291" t="s">
        <v>1012</v>
      </c>
      <c r="E460" s="65"/>
      <c r="F460" s="65"/>
      <c r="G460" s="65"/>
      <c r="H460" s="65"/>
      <c r="I460" s="256"/>
      <c r="J460" s="60">
        <f>J461</f>
        <v>105000</v>
      </c>
      <c r="K460" s="60">
        <f aca="true" t="shared" si="78" ref="K460:X460">K461</f>
        <v>0</v>
      </c>
      <c r="L460" s="60">
        <f t="shared" si="78"/>
        <v>0</v>
      </c>
      <c r="M460" s="60">
        <f t="shared" si="78"/>
        <v>0</v>
      </c>
      <c r="N460" s="60">
        <f t="shared" si="78"/>
        <v>15000</v>
      </c>
      <c r="O460" s="60">
        <f t="shared" si="78"/>
        <v>15000</v>
      </c>
      <c r="P460" s="60">
        <f t="shared" si="78"/>
        <v>25000</v>
      </c>
      <c r="Q460" s="60">
        <f t="shared" si="78"/>
        <v>0</v>
      </c>
      <c r="R460" s="60">
        <f t="shared" si="78"/>
        <v>30000</v>
      </c>
      <c r="S460" s="60">
        <f t="shared" si="78"/>
        <v>20000</v>
      </c>
      <c r="T460" s="60">
        <f t="shared" si="78"/>
        <v>0</v>
      </c>
      <c r="U460" s="60">
        <f t="shared" si="78"/>
        <v>0</v>
      </c>
      <c r="V460" s="60">
        <f t="shared" si="78"/>
        <v>0</v>
      </c>
      <c r="W460" s="60">
        <f t="shared" si="78"/>
        <v>0</v>
      </c>
      <c r="X460" s="60">
        <f t="shared" si="78"/>
        <v>0</v>
      </c>
      <c r="Y460" s="29">
        <f t="shared" si="75"/>
        <v>85000</v>
      </c>
    </row>
    <row r="461" spans="1:25" ht="78.75" customHeight="1">
      <c r="A461" s="296"/>
      <c r="B461" s="297"/>
      <c r="C461" s="296"/>
      <c r="D461" s="291"/>
      <c r="E461" s="65" t="s">
        <v>289</v>
      </c>
      <c r="F461" s="65"/>
      <c r="G461" s="65"/>
      <c r="H461" s="65"/>
      <c r="I461" s="256">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75"/>
        <v>85000</v>
      </c>
    </row>
    <row r="462" spans="1:25" ht="43.5" customHeight="1">
      <c r="A462" s="18" t="s">
        <v>276</v>
      </c>
      <c r="B462" s="127"/>
      <c r="C462" s="37"/>
      <c r="D462" s="128" t="s">
        <v>321</v>
      </c>
      <c r="E462" s="129"/>
      <c r="F462" s="130"/>
      <c r="G462" s="131"/>
      <c r="H462" s="130"/>
      <c r="I462" s="233"/>
      <c r="J462" s="35">
        <f>J463</f>
        <v>225549963.19</v>
      </c>
      <c r="K462" s="35">
        <f aca="true" t="shared" si="79" ref="K462:X462">K463</f>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26898515.86</v>
      </c>
      <c r="S462" s="35">
        <f t="shared" si="79"/>
        <v>13797546</v>
      </c>
      <c r="T462" s="35">
        <f t="shared" si="79"/>
        <v>18414175.23</v>
      </c>
      <c r="U462" s="35">
        <f t="shared" si="79"/>
        <v>26111096.560000002</v>
      </c>
      <c r="V462" s="35">
        <f t="shared" si="79"/>
        <v>35238865.52</v>
      </c>
      <c r="W462" s="35">
        <f t="shared" si="79"/>
        <v>-3.8562575355172157E-10</v>
      </c>
      <c r="X462" s="35">
        <f t="shared" si="79"/>
        <v>88006263.63</v>
      </c>
      <c r="Y462" s="29">
        <f t="shared" si="75"/>
        <v>43982016.250000015</v>
      </c>
    </row>
    <row r="463" spans="1:25" ht="44.25" customHeight="1">
      <c r="A463" s="18" t="s">
        <v>277</v>
      </c>
      <c r="B463" s="127"/>
      <c r="C463" s="132"/>
      <c r="D463" s="128" t="s">
        <v>321</v>
      </c>
      <c r="E463" s="129"/>
      <c r="F463" s="130"/>
      <c r="G463" s="131"/>
      <c r="H463" s="130"/>
      <c r="I463" s="233"/>
      <c r="J463" s="35">
        <f aca="true" t="shared" si="80" ref="J463:X463">J464+J522+J524+J595+J598+J728+J917+J919</f>
        <v>225549963.19</v>
      </c>
      <c r="K463" s="35">
        <f t="shared" si="80"/>
        <v>0</v>
      </c>
      <c r="L463" s="35">
        <f t="shared" si="80"/>
        <v>3674742</v>
      </c>
      <c r="M463" s="35">
        <f t="shared" si="80"/>
        <v>36633535.120000005</v>
      </c>
      <c r="N463" s="35">
        <f t="shared" si="80"/>
        <v>22784352</v>
      </c>
      <c r="O463" s="35">
        <f t="shared" si="80"/>
        <v>3604786</v>
      </c>
      <c r="P463" s="35">
        <f t="shared" si="80"/>
        <v>12756346.11</v>
      </c>
      <c r="Q463" s="35">
        <f t="shared" si="80"/>
        <v>25636002.79</v>
      </c>
      <c r="R463" s="35">
        <f t="shared" si="80"/>
        <v>26898515.86</v>
      </c>
      <c r="S463" s="35">
        <f t="shared" si="80"/>
        <v>13797546</v>
      </c>
      <c r="T463" s="35">
        <f t="shared" si="80"/>
        <v>18414175.23</v>
      </c>
      <c r="U463" s="35">
        <f t="shared" si="80"/>
        <v>26111096.560000002</v>
      </c>
      <c r="V463" s="35">
        <f t="shared" si="80"/>
        <v>35238865.52</v>
      </c>
      <c r="W463" s="35">
        <f t="shared" si="80"/>
        <v>-3.8562575355172157E-10</v>
      </c>
      <c r="X463" s="35">
        <f t="shared" si="80"/>
        <v>88006263.63</v>
      </c>
      <c r="Y463" s="29">
        <f t="shared" si="75"/>
        <v>43982016.250000015</v>
      </c>
    </row>
    <row r="464" spans="1:25" ht="18.75" customHeight="1">
      <c r="A464" s="289" t="s">
        <v>708</v>
      </c>
      <c r="B464" s="289" t="s">
        <v>707</v>
      </c>
      <c r="C464" s="289" t="s">
        <v>646</v>
      </c>
      <c r="D464" s="278" t="s">
        <v>706</v>
      </c>
      <c r="E464" s="65"/>
      <c r="F464" s="65"/>
      <c r="G464" s="65"/>
      <c r="H464" s="65"/>
      <c r="I464" s="256"/>
      <c r="J464" s="31">
        <f>SUM(J465:J521)</f>
        <v>14905910</v>
      </c>
      <c r="K464" s="31">
        <f aca="true" t="shared" si="81" ref="K464:V464">SUM(K465:K521)</f>
        <v>0</v>
      </c>
      <c r="L464" s="31">
        <f t="shared" si="81"/>
        <v>0</v>
      </c>
      <c r="M464" s="31">
        <f t="shared" si="81"/>
        <v>1031395.12</v>
      </c>
      <c r="N464" s="31">
        <f t="shared" si="81"/>
        <v>550000</v>
      </c>
      <c r="O464" s="31">
        <f t="shared" si="81"/>
        <v>833570</v>
      </c>
      <c r="P464" s="31">
        <f t="shared" si="81"/>
        <v>259500</v>
      </c>
      <c r="Q464" s="31">
        <f t="shared" si="81"/>
        <v>3846093.67</v>
      </c>
      <c r="R464" s="31">
        <f t="shared" si="81"/>
        <v>1467095.88</v>
      </c>
      <c r="S464" s="31">
        <f t="shared" si="81"/>
        <v>2591946</v>
      </c>
      <c r="T464" s="31">
        <f t="shared" si="81"/>
        <v>3326475</v>
      </c>
      <c r="U464" s="31">
        <f t="shared" si="81"/>
        <v>699834.3300000001</v>
      </c>
      <c r="V464" s="31">
        <f t="shared" si="81"/>
        <v>300000</v>
      </c>
      <c r="W464" s="31">
        <f>SUM(W465:W521)</f>
        <v>-1.382431946694851E-10</v>
      </c>
      <c r="X464" s="31">
        <f>SUM(X465:X521)</f>
        <v>3615581.9999999977</v>
      </c>
      <c r="Y464" s="29">
        <f t="shared" si="75"/>
        <v>4372072.670000002</v>
      </c>
    </row>
    <row r="465" spans="1:25" ht="135.75" customHeight="1">
      <c r="A465" s="290"/>
      <c r="B465" s="290"/>
      <c r="C465" s="290"/>
      <c r="D465" s="279"/>
      <c r="E465" s="61" t="s">
        <v>562</v>
      </c>
      <c r="F465" s="105">
        <f>J465</f>
        <v>3938841.4</v>
      </c>
      <c r="G465" s="114">
        <v>1</v>
      </c>
      <c r="H465" s="105">
        <f aca="true" t="shared" si="82" ref="H465:H557">J465</f>
        <v>3938841.4</v>
      </c>
      <c r="I465" s="223">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20000+10000+63104.88+300000</f>
        <v>393104.88</v>
      </c>
      <c r="S465" s="182">
        <f>80000</f>
        <v>80000</v>
      </c>
      <c r="T465" s="182">
        <f>360000+70500</f>
        <v>430500</v>
      </c>
      <c r="U465" s="182">
        <f>550000+390000-279165.67-300000</f>
        <v>360834.3300000001</v>
      </c>
      <c r="V465" s="182">
        <f>530000+45000-575000</f>
        <v>0</v>
      </c>
      <c r="W465" s="29">
        <f t="shared" si="74"/>
        <v>-1.1641532182693481E-10</v>
      </c>
      <c r="X465" s="29">
        <f>200937.6+366000+257196+363000+10861+273900+91268.4+179102.4+12734+701400+57477.6+157200</f>
        <v>2671077</v>
      </c>
      <c r="Y465" s="29">
        <f t="shared" si="75"/>
        <v>396430.06999999983</v>
      </c>
    </row>
    <row r="466" spans="1:25" ht="36" hidden="1">
      <c r="A466" s="290"/>
      <c r="B466" s="290"/>
      <c r="C466" s="290"/>
      <c r="D466" s="279"/>
      <c r="E466" s="28" t="s">
        <v>244</v>
      </c>
      <c r="F466" s="105">
        <f aca="true" t="shared" si="83" ref="F466:F521">J466</f>
        <v>0</v>
      </c>
      <c r="G466" s="114">
        <v>1</v>
      </c>
      <c r="H466" s="105">
        <f t="shared" si="82"/>
        <v>0</v>
      </c>
      <c r="I466" s="223">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75"/>
        <v>0</v>
      </c>
    </row>
    <row r="467" spans="1:25" ht="36" hidden="1">
      <c r="A467" s="290"/>
      <c r="B467" s="290"/>
      <c r="C467" s="290"/>
      <c r="D467" s="279"/>
      <c r="E467" s="28" t="s">
        <v>245</v>
      </c>
      <c r="F467" s="105">
        <f t="shared" si="83"/>
        <v>0</v>
      </c>
      <c r="G467" s="114">
        <v>1</v>
      </c>
      <c r="H467" s="105">
        <f t="shared" si="82"/>
        <v>0</v>
      </c>
      <c r="I467" s="223">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75"/>
        <v>0</v>
      </c>
    </row>
    <row r="468" spans="1:25" ht="56.25">
      <c r="A468" s="290"/>
      <c r="B468" s="290"/>
      <c r="C468" s="290"/>
      <c r="D468" s="279"/>
      <c r="E468" s="28" t="s">
        <v>537</v>
      </c>
      <c r="F468" s="105"/>
      <c r="G468" s="114"/>
      <c r="H468" s="105"/>
      <c r="I468" s="223">
        <v>3131</v>
      </c>
      <c r="J468" s="47">
        <v>523000</v>
      </c>
      <c r="K468" s="182"/>
      <c r="L468" s="182"/>
      <c r="M468" s="182"/>
      <c r="N468" s="182"/>
      <c r="O468" s="182"/>
      <c r="P468" s="182"/>
      <c r="Q468" s="182"/>
      <c r="R468" s="182">
        <f>48000</f>
        <v>48000</v>
      </c>
      <c r="S468" s="182"/>
      <c r="T468" s="182">
        <f>523000-48000</f>
        <v>475000</v>
      </c>
      <c r="U468" s="182"/>
      <c r="V468" s="182"/>
      <c r="W468" s="29">
        <f>J468-K468-L468-M468-N468-O468-P468-Q468-R468-S468-T468-U468-V468</f>
        <v>0</v>
      </c>
      <c r="X468" s="29"/>
      <c r="Y468" s="29">
        <f t="shared" si="75"/>
        <v>48000</v>
      </c>
    </row>
    <row r="469" spans="1:25" ht="56.25">
      <c r="A469" s="290"/>
      <c r="B469" s="290"/>
      <c r="C469" s="290"/>
      <c r="D469" s="279"/>
      <c r="E469" s="28" t="s">
        <v>61</v>
      </c>
      <c r="F469" s="105"/>
      <c r="G469" s="114"/>
      <c r="H469" s="105"/>
      <c r="I469" s="223">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75"/>
        <v>10000</v>
      </c>
    </row>
    <row r="470" spans="1:25" ht="56.25">
      <c r="A470" s="290"/>
      <c r="B470" s="290"/>
      <c r="C470" s="290"/>
      <c r="D470" s="279"/>
      <c r="E470" s="28" t="s">
        <v>62</v>
      </c>
      <c r="F470" s="105"/>
      <c r="G470" s="114"/>
      <c r="H470" s="105"/>
      <c r="I470" s="223">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t="shared" si="75"/>
        <v>100000</v>
      </c>
    </row>
    <row r="471" spans="1:25" ht="56.25">
      <c r="A471" s="290"/>
      <c r="B471" s="290"/>
      <c r="C471" s="290"/>
      <c r="D471" s="279"/>
      <c r="E471" s="28" t="s">
        <v>660</v>
      </c>
      <c r="F471" s="105">
        <f t="shared" si="83"/>
        <v>106000</v>
      </c>
      <c r="G471" s="114">
        <v>1</v>
      </c>
      <c r="H471" s="105">
        <f t="shared" si="82"/>
        <v>106000</v>
      </c>
      <c r="I471" s="223">
        <v>3131</v>
      </c>
      <c r="J471" s="47">
        <f>60000+46000</f>
        <v>106000</v>
      </c>
      <c r="K471" s="182"/>
      <c r="L471" s="182"/>
      <c r="M471" s="182"/>
      <c r="N471" s="182"/>
      <c r="O471" s="182">
        <v>7000</v>
      </c>
      <c r="P471" s="182"/>
      <c r="Q471" s="182">
        <f>45000+54000</f>
        <v>99000</v>
      </c>
      <c r="R471" s="182">
        <f>6000+1000-7000-48000</f>
        <v>-48000</v>
      </c>
      <c r="S471" s="182">
        <f>36000-36000+48000</f>
        <v>48000</v>
      </c>
      <c r="T471" s="182">
        <f>18000-7000-11000</f>
        <v>0</v>
      </c>
      <c r="U471" s="182"/>
      <c r="V471" s="182"/>
      <c r="W471" s="29">
        <f t="shared" si="74"/>
        <v>0</v>
      </c>
      <c r="X471" s="29">
        <f>6999.8</f>
        <v>6999.8</v>
      </c>
      <c r="Y471" s="29">
        <f t="shared" si="75"/>
        <v>51000.2</v>
      </c>
    </row>
    <row r="472" spans="1:25" ht="56.25">
      <c r="A472" s="290"/>
      <c r="B472" s="290"/>
      <c r="C472" s="290"/>
      <c r="D472" s="279"/>
      <c r="E472" s="28" t="s">
        <v>661</v>
      </c>
      <c r="F472" s="105">
        <f t="shared" si="83"/>
        <v>72000</v>
      </c>
      <c r="G472" s="114">
        <v>1</v>
      </c>
      <c r="H472" s="105">
        <f t="shared" si="82"/>
        <v>72000</v>
      </c>
      <c r="I472" s="223">
        <v>3131</v>
      </c>
      <c r="J472" s="47">
        <f>50000+22000</f>
        <v>72000</v>
      </c>
      <c r="K472" s="182"/>
      <c r="L472" s="182"/>
      <c r="M472" s="182"/>
      <c r="N472" s="182"/>
      <c r="O472" s="182">
        <v>6000</v>
      </c>
      <c r="P472" s="182"/>
      <c r="Q472" s="182">
        <f>66000</f>
        <v>66000</v>
      </c>
      <c r="R472" s="182">
        <f>5000+22000-27000-31000</f>
        <v>-31000</v>
      </c>
      <c r="S472" s="182">
        <f>30000-30000+31000</f>
        <v>31000</v>
      </c>
      <c r="T472" s="182">
        <f>15000-6000-9000</f>
        <v>0</v>
      </c>
      <c r="U472" s="182"/>
      <c r="V472" s="182"/>
      <c r="W472" s="29">
        <f t="shared" si="74"/>
        <v>0</v>
      </c>
      <c r="X472" s="29">
        <f>5999.8</f>
        <v>5999.8</v>
      </c>
      <c r="Y472" s="29">
        <f t="shared" si="75"/>
        <v>35000.2</v>
      </c>
    </row>
    <row r="473" spans="1:25" ht="56.25">
      <c r="A473" s="290"/>
      <c r="B473" s="290"/>
      <c r="C473" s="290"/>
      <c r="D473" s="279"/>
      <c r="E473" s="28" t="s">
        <v>662</v>
      </c>
      <c r="F473" s="105">
        <f t="shared" si="83"/>
        <v>72000</v>
      </c>
      <c r="G473" s="114">
        <v>1</v>
      </c>
      <c r="H473" s="105">
        <f t="shared" si="82"/>
        <v>72000</v>
      </c>
      <c r="I473" s="223">
        <v>3131</v>
      </c>
      <c r="J473" s="47">
        <f>50000+22000</f>
        <v>72000</v>
      </c>
      <c r="K473" s="182"/>
      <c r="L473" s="182"/>
      <c r="M473" s="182"/>
      <c r="N473" s="182"/>
      <c r="O473" s="182">
        <v>6000</v>
      </c>
      <c r="P473" s="182"/>
      <c r="Q473" s="182">
        <f>66000</f>
        <v>66000</v>
      </c>
      <c r="R473" s="182">
        <f>5000+22000-27000-31000</f>
        <v>-31000</v>
      </c>
      <c r="S473" s="182">
        <f>30000-30000+31000</f>
        <v>31000</v>
      </c>
      <c r="T473" s="182">
        <f>15000-6000-9000</f>
        <v>0</v>
      </c>
      <c r="U473" s="182"/>
      <c r="V473" s="182"/>
      <c r="W473" s="29">
        <f t="shared" si="74"/>
        <v>0</v>
      </c>
      <c r="X473" s="29">
        <f>5999.8</f>
        <v>5999.8</v>
      </c>
      <c r="Y473" s="29">
        <f t="shared" si="75"/>
        <v>35000.2</v>
      </c>
    </row>
    <row r="474" spans="1:25" ht="36" hidden="1">
      <c r="A474" s="290"/>
      <c r="B474" s="290"/>
      <c r="C474" s="290"/>
      <c r="D474" s="279"/>
      <c r="E474" s="28" t="s">
        <v>767</v>
      </c>
      <c r="F474" s="105">
        <f t="shared" si="83"/>
        <v>0</v>
      </c>
      <c r="G474" s="114">
        <v>1</v>
      </c>
      <c r="H474" s="105">
        <f t="shared" si="82"/>
        <v>0</v>
      </c>
      <c r="I474" s="223">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75"/>
        <v>0</v>
      </c>
    </row>
    <row r="475" spans="1:25" ht="56.25">
      <c r="A475" s="290"/>
      <c r="B475" s="290"/>
      <c r="C475" s="290"/>
      <c r="D475" s="279"/>
      <c r="E475" s="28" t="s">
        <v>457</v>
      </c>
      <c r="F475" s="105">
        <f t="shared" si="83"/>
        <v>114000</v>
      </c>
      <c r="G475" s="114">
        <v>1</v>
      </c>
      <c r="H475" s="105">
        <f t="shared" si="82"/>
        <v>114000</v>
      </c>
      <c r="I475" s="223">
        <v>3131</v>
      </c>
      <c r="J475" s="47">
        <f>50000+64000</f>
        <v>114000</v>
      </c>
      <c r="K475" s="182"/>
      <c r="L475" s="182"/>
      <c r="M475" s="182"/>
      <c r="N475" s="182"/>
      <c r="O475" s="182">
        <v>8000</v>
      </c>
      <c r="P475" s="182"/>
      <c r="Q475" s="182">
        <f>106000</f>
        <v>106000</v>
      </c>
      <c r="R475" s="182">
        <f>5000+52000-57000-54000</f>
        <v>-54000</v>
      </c>
      <c r="S475" s="182">
        <f>30000-30000+54000</f>
        <v>54000</v>
      </c>
      <c r="T475" s="182">
        <f>15000+12000-8000-19000</f>
        <v>0</v>
      </c>
      <c r="U475" s="182"/>
      <c r="V475" s="182"/>
      <c r="W475" s="29">
        <f t="shared" si="74"/>
        <v>0</v>
      </c>
      <c r="X475" s="29">
        <f>7999.8</f>
        <v>7999.8</v>
      </c>
      <c r="Y475" s="29">
        <f t="shared" si="75"/>
        <v>52000.2</v>
      </c>
    </row>
    <row r="476" spans="1:25" ht="56.25">
      <c r="A476" s="290"/>
      <c r="B476" s="290"/>
      <c r="C476" s="290"/>
      <c r="D476" s="279"/>
      <c r="E476" s="28" t="s">
        <v>458</v>
      </c>
      <c r="F476" s="105">
        <f t="shared" si="83"/>
        <v>72000</v>
      </c>
      <c r="G476" s="114">
        <v>1</v>
      </c>
      <c r="H476" s="105">
        <f t="shared" si="82"/>
        <v>72000</v>
      </c>
      <c r="I476" s="223">
        <v>3131</v>
      </c>
      <c r="J476" s="47">
        <f>50000+22000</f>
        <v>72000</v>
      </c>
      <c r="K476" s="182"/>
      <c r="L476" s="182"/>
      <c r="M476" s="182"/>
      <c r="N476" s="182"/>
      <c r="O476" s="182">
        <v>6000</v>
      </c>
      <c r="P476" s="182"/>
      <c r="Q476" s="182">
        <f>66000</f>
        <v>66000</v>
      </c>
      <c r="R476" s="182">
        <f>5000+22000-27000-34000</f>
        <v>-34000</v>
      </c>
      <c r="S476" s="182">
        <f>30000-30000+34000</f>
        <v>34000</v>
      </c>
      <c r="T476" s="182">
        <f>15000-6000-9000</f>
        <v>0</v>
      </c>
      <c r="U476" s="182"/>
      <c r="V476" s="182"/>
      <c r="W476" s="29">
        <f t="shared" si="74"/>
        <v>0</v>
      </c>
      <c r="X476" s="29">
        <f>5999.8</f>
        <v>5999.8</v>
      </c>
      <c r="Y476" s="29">
        <f t="shared" si="75"/>
        <v>32000.2</v>
      </c>
    </row>
    <row r="477" spans="1:25" ht="56.25">
      <c r="A477" s="290"/>
      <c r="B477" s="290"/>
      <c r="C477" s="290"/>
      <c r="D477" s="279"/>
      <c r="E477" s="28" t="s">
        <v>459</v>
      </c>
      <c r="F477" s="105">
        <f t="shared" si="83"/>
        <v>72000</v>
      </c>
      <c r="G477" s="114">
        <v>1</v>
      </c>
      <c r="H477" s="105">
        <f t="shared" si="82"/>
        <v>72000</v>
      </c>
      <c r="I477" s="223">
        <v>3131</v>
      </c>
      <c r="J477" s="47">
        <f>50000+22000</f>
        <v>72000</v>
      </c>
      <c r="K477" s="182"/>
      <c r="L477" s="182"/>
      <c r="M477" s="182"/>
      <c r="N477" s="182"/>
      <c r="O477" s="182">
        <v>6000</v>
      </c>
      <c r="P477" s="182"/>
      <c r="Q477" s="182">
        <f>66000</f>
        <v>66000</v>
      </c>
      <c r="R477" s="182">
        <f>5000+22000-27000-34000</f>
        <v>-34000</v>
      </c>
      <c r="S477" s="182">
        <f>30000-30000+34000</f>
        <v>34000</v>
      </c>
      <c r="T477" s="182">
        <f>15000-6000-9000</f>
        <v>0</v>
      </c>
      <c r="U477" s="182"/>
      <c r="V477" s="182"/>
      <c r="W477" s="29">
        <f t="shared" si="74"/>
        <v>0</v>
      </c>
      <c r="X477" s="29">
        <f>5999.8</f>
        <v>5999.8</v>
      </c>
      <c r="Y477" s="29">
        <f t="shared" si="75"/>
        <v>32000.2</v>
      </c>
    </row>
    <row r="478" spans="1:25" ht="56.25">
      <c r="A478" s="290"/>
      <c r="B478" s="290"/>
      <c r="C478" s="290"/>
      <c r="D478" s="279"/>
      <c r="E478" s="28" t="s">
        <v>460</v>
      </c>
      <c r="F478" s="105">
        <f t="shared" si="83"/>
        <v>164000</v>
      </c>
      <c r="G478" s="114">
        <v>1</v>
      </c>
      <c r="H478" s="105">
        <f t="shared" si="82"/>
        <v>164000</v>
      </c>
      <c r="I478" s="223">
        <v>3131</v>
      </c>
      <c r="J478" s="47">
        <f>50000+114000</f>
        <v>164000</v>
      </c>
      <c r="K478" s="182"/>
      <c r="L478" s="182"/>
      <c r="M478" s="182"/>
      <c r="N478" s="182"/>
      <c r="O478" s="182">
        <v>10500</v>
      </c>
      <c r="P478" s="182">
        <v>15000</v>
      </c>
      <c r="Q478" s="182">
        <f>138500</f>
        <v>138500</v>
      </c>
      <c r="R478" s="182">
        <f>5000+64000-69000-78000</f>
        <v>-78000</v>
      </c>
      <c r="S478" s="182">
        <f>30000-30000+78000</f>
        <v>78000</v>
      </c>
      <c r="T478" s="182">
        <f>15000+35000-10500-39500</f>
        <v>0</v>
      </c>
      <c r="U478" s="182"/>
      <c r="V478" s="182"/>
      <c r="W478" s="29">
        <f t="shared" si="74"/>
        <v>0</v>
      </c>
      <c r="X478" s="29">
        <v>10499.8</v>
      </c>
      <c r="Y478" s="29">
        <f t="shared" si="75"/>
        <v>75500.2</v>
      </c>
    </row>
    <row r="479" spans="1:25" ht="56.25">
      <c r="A479" s="290"/>
      <c r="B479" s="290"/>
      <c r="C479" s="290"/>
      <c r="D479" s="279"/>
      <c r="E479" s="28" t="s">
        <v>461</v>
      </c>
      <c r="F479" s="105">
        <f t="shared" si="83"/>
        <v>105000</v>
      </c>
      <c r="G479" s="114">
        <v>1</v>
      </c>
      <c r="H479" s="105">
        <f t="shared" si="82"/>
        <v>105000</v>
      </c>
      <c r="I479" s="223">
        <v>3131</v>
      </c>
      <c r="J479" s="47">
        <f>50000+55000</f>
        <v>105000</v>
      </c>
      <c r="K479" s="182"/>
      <c r="L479" s="182"/>
      <c r="M479" s="182"/>
      <c r="N479" s="182"/>
      <c r="O479" s="182">
        <v>7500</v>
      </c>
      <c r="P479" s="182"/>
      <c r="Q479" s="182">
        <f>55000+42500</f>
        <v>97500</v>
      </c>
      <c r="R479" s="182">
        <f>5000-5000-49000</f>
        <v>-49000</v>
      </c>
      <c r="S479" s="182">
        <f>30000-30000+49000</f>
        <v>49000</v>
      </c>
      <c r="T479" s="182">
        <f>15000-7500-7500</f>
        <v>0</v>
      </c>
      <c r="U479" s="182"/>
      <c r="V479" s="182"/>
      <c r="W479" s="29">
        <f t="shared" si="74"/>
        <v>0</v>
      </c>
      <c r="X479" s="29">
        <v>7499.8</v>
      </c>
      <c r="Y479" s="29">
        <f t="shared" si="75"/>
        <v>48500.2</v>
      </c>
    </row>
    <row r="480" spans="1:25" ht="56.25">
      <c r="A480" s="290"/>
      <c r="B480" s="290"/>
      <c r="C480" s="290"/>
      <c r="D480" s="279"/>
      <c r="E480" s="28" t="s">
        <v>490</v>
      </c>
      <c r="F480" s="105"/>
      <c r="G480" s="114"/>
      <c r="H480" s="105"/>
      <c r="I480" s="223">
        <v>3131</v>
      </c>
      <c r="J480" s="47">
        <v>40000</v>
      </c>
      <c r="K480" s="182"/>
      <c r="L480" s="182"/>
      <c r="M480" s="182"/>
      <c r="N480" s="182"/>
      <c r="O480" s="182">
        <v>4000</v>
      </c>
      <c r="P480" s="182"/>
      <c r="Q480" s="182">
        <f>3000+33000</f>
        <v>36000</v>
      </c>
      <c r="R480" s="182">
        <f>18000-4000-14000-18000</f>
        <v>-18000</v>
      </c>
      <c r="S480" s="182">
        <f>19000-19000+18000</f>
        <v>18000</v>
      </c>
      <c r="T480" s="182"/>
      <c r="U480" s="182"/>
      <c r="V480" s="182"/>
      <c r="W480" s="29">
        <f>J480-K480-L480-M480-N480-O480-P480-Q480-R480-S480-T480-U480-V480</f>
        <v>0</v>
      </c>
      <c r="X480" s="29">
        <v>3999.8</v>
      </c>
      <c r="Y480" s="29">
        <f t="shared" si="75"/>
        <v>18000.2</v>
      </c>
    </row>
    <row r="481" spans="1:25" ht="56.25">
      <c r="A481" s="290"/>
      <c r="B481" s="290"/>
      <c r="C481" s="290"/>
      <c r="D481" s="279"/>
      <c r="E481" s="28" t="s">
        <v>553</v>
      </c>
      <c r="F481" s="105"/>
      <c r="G481" s="114"/>
      <c r="H481" s="105"/>
      <c r="I481" s="223">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f t="shared" si="75"/>
        <v>50000</v>
      </c>
    </row>
    <row r="482" spans="1:25" ht="56.25">
      <c r="A482" s="290"/>
      <c r="B482" s="290"/>
      <c r="C482" s="290"/>
      <c r="D482" s="279"/>
      <c r="E482" s="28" t="s">
        <v>120</v>
      </c>
      <c r="F482" s="105">
        <f t="shared" si="83"/>
        <v>72000</v>
      </c>
      <c r="G482" s="114">
        <v>1</v>
      </c>
      <c r="H482" s="105">
        <f t="shared" si="82"/>
        <v>72000</v>
      </c>
      <c r="I482" s="223">
        <v>3131</v>
      </c>
      <c r="J482" s="47">
        <f>50000+22000</f>
        <v>72000</v>
      </c>
      <c r="K482" s="182"/>
      <c r="L482" s="182"/>
      <c r="M482" s="182"/>
      <c r="N482" s="182"/>
      <c r="O482" s="182">
        <v>6000</v>
      </c>
      <c r="P482" s="182"/>
      <c r="Q482" s="182">
        <f>66000</f>
        <v>66000</v>
      </c>
      <c r="R482" s="182">
        <f>5000+22000-27000-34000</f>
        <v>-34000</v>
      </c>
      <c r="S482" s="182">
        <f>30000-30000+34000</f>
        <v>34000</v>
      </c>
      <c r="T482" s="182">
        <f>15000-6000-9000</f>
        <v>0</v>
      </c>
      <c r="U482" s="182"/>
      <c r="V482" s="182"/>
      <c r="W482" s="29">
        <f t="shared" si="74"/>
        <v>0</v>
      </c>
      <c r="X482" s="29">
        <v>5999.8</v>
      </c>
      <c r="Y482" s="29">
        <f t="shared" si="75"/>
        <v>32000.2</v>
      </c>
    </row>
    <row r="483" spans="1:25" ht="56.25">
      <c r="A483" s="290"/>
      <c r="B483" s="290"/>
      <c r="C483" s="290"/>
      <c r="D483" s="279"/>
      <c r="E483" s="28" t="s">
        <v>22</v>
      </c>
      <c r="F483" s="105">
        <f t="shared" si="83"/>
        <v>72000</v>
      </c>
      <c r="G483" s="114">
        <v>1</v>
      </c>
      <c r="H483" s="105">
        <f t="shared" si="82"/>
        <v>72000</v>
      </c>
      <c r="I483" s="223">
        <v>3131</v>
      </c>
      <c r="J483" s="47">
        <f>50000+22000</f>
        <v>72000</v>
      </c>
      <c r="K483" s="182"/>
      <c r="L483" s="182"/>
      <c r="M483" s="182"/>
      <c r="N483" s="182"/>
      <c r="O483" s="182">
        <v>6000</v>
      </c>
      <c r="P483" s="182"/>
      <c r="Q483" s="182">
        <f>66000</f>
        <v>66000</v>
      </c>
      <c r="R483" s="182">
        <f>5000+22000-27000-34000</f>
        <v>-34000</v>
      </c>
      <c r="S483" s="182">
        <f>30000-30000+34000</f>
        <v>34000</v>
      </c>
      <c r="T483" s="182">
        <f>15000-6000-9000</f>
        <v>0</v>
      </c>
      <c r="U483" s="182"/>
      <c r="V483" s="182"/>
      <c r="W483" s="29">
        <f t="shared" si="74"/>
        <v>0</v>
      </c>
      <c r="X483" s="29">
        <v>5999.8</v>
      </c>
      <c r="Y483" s="29">
        <f t="shared" si="75"/>
        <v>32000.2</v>
      </c>
    </row>
    <row r="484" spans="1:25" ht="56.25">
      <c r="A484" s="290"/>
      <c r="B484" s="290"/>
      <c r="C484" s="290"/>
      <c r="D484" s="279"/>
      <c r="E484" s="74" t="s">
        <v>491</v>
      </c>
      <c r="F484" s="105"/>
      <c r="G484" s="114"/>
      <c r="H484" s="105"/>
      <c r="I484" s="223">
        <v>3131</v>
      </c>
      <c r="J484" s="47">
        <v>112000</v>
      </c>
      <c r="K484" s="182"/>
      <c r="L484" s="182"/>
      <c r="M484" s="182"/>
      <c r="N484" s="182"/>
      <c r="O484" s="182">
        <v>8000</v>
      </c>
      <c r="P484" s="182"/>
      <c r="Q484" s="182">
        <f>104000</f>
        <v>104000</v>
      </c>
      <c r="R484" s="182">
        <f>8000-8000-53000</f>
        <v>-53000</v>
      </c>
      <c r="S484" s="182">
        <f>46000-46000+53000</f>
        <v>53000</v>
      </c>
      <c r="T484" s="182">
        <f>46000-46000</f>
        <v>0</v>
      </c>
      <c r="U484" s="182">
        <f>12000-8000-4000</f>
        <v>0</v>
      </c>
      <c r="V484" s="182"/>
      <c r="W484" s="29">
        <f>J484-K484-L484-M484-N484-O484-P484-Q484-R484-S484-T484-U484-V484</f>
        <v>0</v>
      </c>
      <c r="X484" s="29">
        <v>7999.8</v>
      </c>
      <c r="Y484" s="29">
        <f t="shared" si="75"/>
        <v>51000.2</v>
      </c>
    </row>
    <row r="485" spans="1:25" ht="75">
      <c r="A485" s="290"/>
      <c r="B485" s="290"/>
      <c r="C485" s="290"/>
      <c r="D485" s="279"/>
      <c r="E485" s="72" t="s">
        <v>1013</v>
      </c>
      <c r="F485" s="105">
        <f t="shared" si="83"/>
        <v>42000</v>
      </c>
      <c r="G485" s="114">
        <v>1</v>
      </c>
      <c r="H485" s="105">
        <f t="shared" si="82"/>
        <v>42000</v>
      </c>
      <c r="I485" s="223">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75"/>
        <v>4200</v>
      </c>
    </row>
    <row r="486" spans="1:25" ht="93.75">
      <c r="A486" s="290"/>
      <c r="B486" s="290"/>
      <c r="C486" s="290"/>
      <c r="D486" s="279"/>
      <c r="E486" s="72" t="s">
        <v>1014</v>
      </c>
      <c r="F486" s="105">
        <f t="shared" si="83"/>
        <v>265000</v>
      </c>
      <c r="G486" s="114">
        <v>1</v>
      </c>
      <c r="H486" s="105">
        <f t="shared" si="82"/>
        <v>265000</v>
      </c>
      <c r="I486" s="223">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75"/>
        <v>26500</v>
      </c>
    </row>
    <row r="487" spans="1:25" ht="56.25">
      <c r="A487" s="290"/>
      <c r="B487" s="290"/>
      <c r="C487" s="290"/>
      <c r="D487" s="279"/>
      <c r="E487" s="81" t="s">
        <v>880</v>
      </c>
      <c r="F487" s="105"/>
      <c r="G487" s="114"/>
      <c r="H487" s="105"/>
      <c r="I487" s="223">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75"/>
        <v>238000</v>
      </c>
    </row>
    <row r="488" spans="1:25" ht="56.25">
      <c r="A488" s="290"/>
      <c r="B488" s="290"/>
      <c r="C488" s="290"/>
      <c r="D488" s="279"/>
      <c r="E488" s="81" t="s">
        <v>881</v>
      </c>
      <c r="F488" s="105"/>
      <c r="G488" s="114"/>
      <c r="H488" s="105"/>
      <c r="I488" s="223">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75"/>
        <v>238000</v>
      </c>
    </row>
    <row r="489" spans="1:25" ht="56.25">
      <c r="A489" s="290"/>
      <c r="B489" s="290"/>
      <c r="C489" s="290"/>
      <c r="D489" s="279"/>
      <c r="E489" s="81" t="s">
        <v>833</v>
      </c>
      <c r="F489" s="105"/>
      <c r="G489" s="114"/>
      <c r="H489" s="105"/>
      <c r="I489" s="223">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75"/>
        <v>100000</v>
      </c>
    </row>
    <row r="490" spans="1:25" ht="56.25">
      <c r="A490" s="290"/>
      <c r="B490" s="290"/>
      <c r="C490" s="290"/>
      <c r="D490" s="279"/>
      <c r="E490" s="81" t="s">
        <v>778</v>
      </c>
      <c r="F490" s="105"/>
      <c r="G490" s="114"/>
      <c r="H490" s="105"/>
      <c r="I490" s="223">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75"/>
        <v>100000</v>
      </c>
    </row>
    <row r="491" spans="1:25" ht="56.25">
      <c r="A491" s="290"/>
      <c r="B491" s="290"/>
      <c r="C491" s="290"/>
      <c r="D491" s="279"/>
      <c r="E491" s="81" t="s">
        <v>164</v>
      </c>
      <c r="F491" s="105"/>
      <c r="G491" s="114"/>
      <c r="H491" s="105"/>
      <c r="I491" s="223">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75"/>
        <v>121000</v>
      </c>
    </row>
    <row r="492" spans="1:25" ht="56.25">
      <c r="A492" s="290"/>
      <c r="B492" s="290"/>
      <c r="C492" s="290"/>
      <c r="D492" s="279"/>
      <c r="E492" s="81" t="s">
        <v>165</v>
      </c>
      <c r="F492" s="105"/>
      <c r="G492" s="114"/>
      <c r="H492" s="105"/>
      <c r="I492" s="223">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75"/>
        <v>130000</v>
      </c>
    </row>
    <row r="493" spans="1:25" ht="56.25">
      <c r="A493" s="290"/>
      <c r="B493" s="290"/>
      <c r="C493" s="290"/>
      <c r="D493" s="279"/>
      <c r="E493" s="81" t="s">
        <v>166</v>
      </c>
      <c r="F493" s="105"/>
      <c r="G493" s="114"/>
      <c r="H493" s="105"/>
      <c r="I493" s="223">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75"/>
        <v>50000</v>
      </c>
    </row>
    <row r="494" spans="1:25" ht="81.75" customHeight="1">
      <c r="A494" s="290"/>
      <c r="B494" s="290"/>
      <c r="C494" s="290"/>
      <c r="D494" s="279"/>
      <c r="E494" s="72" t="s">
        <v>563</v>
      </c>
      <c r="F494" s="105">
        <f t="shared" si="83"/>
        <v>100000</v>
      </c>
      <c r="G494" s="114">
        <v>1</v>
      </c>
      <c r="H494" s="105">
        <f t="shared" si="82"/>
        <v>100000</v>
      </c>
      <c r="I494" s="223">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75"/>
        <v>10000</v>
      </c>
    </row>
    <row r="495" spans="1:25" ht="93.75">
      <c r="A495" s="290"/>
      <c r="B495" s="290"/>
      <c r="C495" s="290"/>
      <c r="D495" s="279"/>
      <c r="E495" s="72" t="s">
        <v>1052</v>
      </c>
      <c r="F495" s="105">
        <f t="shared" si="83"/>
        <v>265000</v>
      </c>
      <c r="G495" s="114">
        <v>1</v>
      </c>
      <c r="H495" s="105">
        <f t="shared" si="82"/>
        <v>265000</v>
      </c>
      <c r="I495" s="223">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75"/>
        <v>26500</v>
      </c>
    </row>
    <row r="496" spans="1:25" ht="56.25">
      <c r="A496" s="290"/>
      <c r="B496" s="290"/>
      <c r="C496" s="290"/>
      <c r="D496" s="279"/>
      <c r="E496" s="72" t="s">
        <v>1053</v>
      </c>
      <c r="F496" s="105">
        <f t="shared" si="83"/>
        <v>400000</v>
      </c>
      <c r="G496" s="114">
        <v>1</v>
      </c>
      <c r="H496" s="105">
        <f t="shared" si="82"/>
        <v>400000</v>
      </c>
      <c r="I496" s="223">
        <v>3131</v>
      </c>
      <c r="J496" s="47">
        <v>400000</v>
      </c>
      <c r="K496" s="182"/>
      <c r="L496" s="182"/>
      <c r="M496" s="182"/>
      <c r="N496" s="182"/>
      <c r="O496" s="182"/>
      <c r="P496" s="182"/>
      <c r="Q496" s="182">
        <v>200000</v>
      </c>
      <c r="R496" s="182">
        <f>40000-200000</f>
        <v>-160000</v>
      </c>
      <c r="S496" s="182">
        <f>240000-80000</f>
        <v>160000</v>
      </c>
      <c r="T496" s="182">
        <f>120000-120000+200000</f>
        <v>200000</v>
      </c>
      <c r="U496" s="182"/>
      <c r="V496" s="182"/>
      <c r="W496" s="29">
        <f t="shared" si="74"/>
        <v>0</v>
      </c>
      <c r="X496" s="29"/>
      <c r="Y496" s="29">
        <f t="shared" si="75"/>
        <v>40000</v>
      </c>
    </row>
    <row r="497" spans="1:25" ht="75">
      <c r="A497" s="290"/>
      <c r="B497" s="290"/>
      <c r="C497" s="290"/>
      <c r="D497" s="279"/>
      <c r="E497" s="72" t="s">
        <v>1054</v>
      </c>
      <c r="F497" s="105">
        <f t="shared" si="83"/>
        <v>2493000</v>
      </c>
      <c r="G497" s="114">
        <v>1</v>
      </c>
      <c r="H497" s="105">
        <f t="shared" si="82"/>
        <v>2493000</v>
      </c>
      <c r="I497" s="223">
        <v>3131</v>
      </c>
      <c r="J497" s="47">
        <v>2493000</v>
      </c>
      <c r="K497" s="182"/>
      <c r="L497" s="182"/>
      <c r="M497" s="182">
        <v>20000</v>
      </c>
      <c r="N497" s="182"/>
      <c r="O497" s="182"/>
      <c r="P497" s="182">
        <v>20000</v>
      </c>
      <c r="Q497" s="182"/>
      <c r="R497" s="182">
        <f>1240000-20000-348000</f>
        <v>872000</v>
      </c>
      <c r="S497" s="182"/>
      <c r="T497" s="182">
        <f>1253000-20000+48000</f>
        <v>1281000</v>
      </c>
      <c r="U497" s="182">
        <f>300000</f>
        <v>300000</v>
      </c>
      <c r="V497" s="182"/>
      <c r="W497" s="29">
        <f t="shared" si="74"/>
        <v>0</v>
      </c>
      <c r="X497" s="29">
        <f>19998.84</f>
        <v>19998.84</v>
      </c>
      <c r="Y497" s="29">
        <f t="shared" si="75"/>
        <v>892001.16</v>
      </c>
    </row>
    <row r="498" spans="1:25" ht="54" hidden="1">
      <c r="A498" s="290"/>
      <c r="B498" s="290"/>
      <c r="C498" s="290"/>
      <c r="D498" s="279"/>
      <c r="E498" s="72" t="s">
        <v>1111</v>
      </c>
      <c r="F498" s="105">
        <f t="shared" si="83"/>
        <v>0</v>
      </c>
      <c r="G498" s="114">
        <v>1</v>
      </c>
      <c r="H498" s="105">
        <f t="shared" si="82"/>
        <v>0</v>
      </c>
      <c r="I498" s="223">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75"/>
        <v>0</v>
      </c>
    </row>
    <row r="499" spans="1:25" ht="54" hidden="1">
      <c r="A499" s="290"/>
      <c r="B499" s="290"/>
      <c r="C499" s="290"/>
      <c r="D499" s="279"/>
      <c r="E499" s="72" t="s">
        <v>1108</v>
      </c>
      <c r="F499" s="105">
        <f t="shared" si="83"/>
        <v>0</v>
      </c>
      <c r="G499" s="114">
        <v>1</v>
      </c>
      <c r="H499" s="105">
        <f t="shared" si="82"/>
        <v>0</v>
      </c>
      <c r="I499" s="223">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75"/>
        <v>0</v>
      </c>
    </row>
    <row r="500" spans="1:25" ht="62.25" customHeight="1" hidden="1">
      <c r="A500" s="290"/>
      <c r="B500" s="290"/>
      <c r="C500" s="290"/>
      <c r="D500" s="279"/>
      <c r="E500" s="72" t="s">
        <v>1044</v>
      </c>
      <c r="F500" s="105">
        <f t="shared" si="83"/>
        <v>0</v>
      </c>
      <c r="G500" s="114">
        <v>1</v>
      </c>
      <c r="H500" s="105">
        <f t="shared" si="82"/>
        <v>0</v>
      </c>
      <c r="I500" s="223">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75"/>
        <v>0</v>
      </c>
    </row>
    <row r="501" spans="1:25" ht="54" hidden="1">
      <c r="A501" s="290"/>
      <c r="B501" s="290"/>
      <c r="C501" s="290"/>
      <c r="D501" s="279"/>
      <c r="E501" s="72" t="s">
        <v>1056</v>
      </c>
      <c r="F501" s="105">
        <f t="shared" si="83"/>
        <v>0</v>
      </c>
      <c r="G501" s="114">
        <v>1</v>
      </c>
      <c r="H501" s="105">
        <f t="shared" si="82"/>
        <v>0</v>
      </c>
      <c r="I501" s="223">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75"/>
        <v>0</v>
      </c>
    </row>
    <row r="502" spans="1:25" ht="54" hidden="1">
      <c r="A502" s="290"/>
      <c r="B502" s="290"/>
      <c r="C502" s="290"/>
      <c r="D502" s="279"/>
      <c r="E502" s="72" t="s">
        <v>794</v>
      </c>
      <c r="F502" s="105">
        <f t="shared" si="83"/>
        <v>0</v>
      </c>
      <c r="G502" s="114">
        <v>1</v>
      </c>
      <c r="H502" s="105">
        <f t="shared" si="82"/>
        <v>0</v>
      </c>
      <c r="I502" s="223">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75"/>
        <v>0</v>
      </c>
    </row>
    <row r="503" spans="1:25" ht="42" customHeight="1">
      <c r="A503" s="290"/>
      <c r="B503" s="290"/>
      <c r="C503" s="290"/>
      <c r="D503" s="279"/>
      <c r="E503" s="72" t="s">
        <v>795</v>
      </c>
      <c r="F503" s="105">
        <f t="shared" si="83"/>
        <v>2087910</v>
      </c>
      <c r="G503" s="114">
        <v>1</v>
      </c>
      <c r="H503" s="105">
        <f t="shared" si="82"/>
        <v>2087910</v>
      </c>
      <c r="I503" s="223">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75"/>
        <v>286028.87</v>
      </c>
    </row>
    <row r="504" spans="1:25" ht="75">
      <c r="A504" s="290"/>
      <c r="B504" s="290"/>
      <c r="C504" s="290"/>
      <c r="D504" s="279"/>
      <c r="E504" s="61" t="s">
        <v>796</v>
      </c>
      <c r="F504" s="105">
        <f t="shared" si="83"/>
        <v>366158.6</v>
      </c>
      <c r="G504" s="114">
        <v>1</v>
      </c>
      <c r="H504" s="105">
        <f t="shared" si="82"/>
        <v>366158.6</v>
      </c>
      <c r="I504" s="223">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232868+127807.6+5483</f>
        <v>366158.6</v>
      </c>
      <c r="Y504" s="29">
        <f t="shared" si="75"/>
        <v>0</v>
      </c>
    </row>
    <row r="505" spans="1:25" ht="93.75">
      <c r="A505" s="290"/>
      <c r="B505" s="290"/>
      <c r="C505" s="290"/>
      <c r="D505" s="279"/>
      <c r="E505" s="61" t="s">
        <v>59</v>
      </c>
      <c r="F505" s="105"/>
      <c r="G505" s="114"/>
      <c r="H505" s="105"/>
      <c r="I505" s="223">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75"/>
        <v>94017.77</v>
      </c>
    </row>
    <row r="506" spans="1:25" ht="75">
      <c r="A506" s="290"/>
      <c r="B506" s="290"/>
      <c r="C506" s="290"/>
      <c r="D506" s="279"/>
      <c r="E506" s="61" t="s">
        <v>545</v>
      </c>
      <c r="F506" s="105">
        <f t="shared" si="83"/>
        <v>350000</v>
      </c>
      <c r="G506" s="114">
        <v>1</v>
      </c>
      <c r="H506" s="105">
        <f t="shared" si="82"/>
        <v>350000</v>
      </c>
      <c r="I506" s="223">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75"/>
        <v>350000</v>
      </c>
    </row>
    <row r="507" spans="1:25" ht="56.25">
      <c r="A507" s="290"/>
      <c r="B507" s="290"/>
      <c r="C507" s="290"/>
      <c r="D507" s="279"/>
      <c r="E507" s="61" t="s">
        <v>797</v>
      </c>
      <c r="F507" s="105">
        <f t="shared" si="83"/>
        <v>300000</v>
      </c>
      <c r="G507" s="114">
        <v>1</v>
      </c>
      <c r="H507" s="105">
        <f t="shared" si="82"/>
        <v>300000</v>
      </c>
      <c r="I507" s="223">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75"/>
        <v>86876.4</v>
      </c>
    </row>
    <row r="508" spans="1:25" ht="75">
      <c r="A508" s="290"/>
      <c r="B508" s="290"/>
      <c r="C508" s="290"/>
      <c r="D508" s="279"/>
      <c r="E508" s="61" t="s">
        <v>798</v>
      </c>
      <c r="F508" s="105">
        <f t="shared" si="83"/>
        <v>595000</v>
      </c>
      <c r="G508" s="114">
        <v>1</v>
      </c>
      <c r="H508" s="105">
        <f t="shared" si="82"/>
        <v>595000</v>
      </c>
      <c r="I508" s="223">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75"/>
        <v>372431</v>
      </c>
    </row>
    <row r="509" spans="1:25" ht="60" customHeight="1" hidden="1">
      <c r="A509" s="290"/>
      <c r="B509" s="290"/>
      <c r="C509" s="290"/>
      <c r="D509" s="279"/>
      <c r="E509" s="28" t="s">
        <v>799</v>
      </c>
      <c r="F509" s="105">
        <f t="shared" si="83"/>
        <v>0</v>
      </c>
      <c r="G509" s="114">
        <v>1</v>
      </c>
      <c r="H509" s="105">
        <f t="shared" si="82"/>
        <v>0</v>
      </c>
      <c r="I509" s="223">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75"/>
        <v>0</v>
      </c>
    </row>
    <row r="510" spans="1:25" ht="57" customHeight="1" hidden="1">
      <c r="A510" s="290"/>
      <c r="B510" s="290"/>
      <c r="C510" s="290"/>
      <c r="D510" s="279"/>
      <c r="E510" s="28" t="s">
        <v>800</v>
      </c>
      <c r="F510" s="105">
        <f t="shared" si="83"/>
        <v>0</v>
      </c>
      <c r="G510" s="114">
        <v>1</v>
      </c>
      <c r="H510" s="105">
        <f t="shared" si="82"/>
        <v>0</v>
      </c>
      <c r="I510" s="223">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75"/>
        <v>0</v>
      </c>
    </row>
    <row r="511" spans="1:25" ht="60.75" customHeight="1" hidden="1">
      <c r="A511" s="290"/>
      <c r="B511" s="290"/>
      <c r="C511" s="290"/>
      <c r="D511" s="279"/>
      <c r="E511" s="28" t="s">
        <v>336</v>
      </c>
      <c r="F511" s="105">
        <f t="shared" si="83"/>
        <v>0</v>
      </c>
      <c r="G511" s="114">
        <v>1</v>
      </c>
      <c r="H511" s="105">
        <f t="shared" si="82"/>
        <v>0</v>
      </c>
      <c r="I511" s="223">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75"/>
        <v>0</v>
      </c>
    </row>
    <row r="512" spans="1:25" ht="54" hidden="1">
      <c r="A512" s="290"/>
      <c r="B512" s="290"/>
      <c r="C512" s="290"/>
      <c r="D512" s="279"/>
      <c r="E512" s="28" t="s">
        <v>337</v>
      </c>
      <c r="F512" s="105">
        <f t="shared" si="83"/>
        <v>0</v>
      </c>
      <c r="G512" s="114">
        <v>1</v>
      </c>
      <c r="H512" s="105">
        <f t="shared" si="82"/>
        <v>0</v>
      </c>
      <c r="I512" s="223">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75"/>
        <v>0</v>
      </c>
    </row>
    <row r="513" spans="1:25" ht="54" hidden="1">
      <c r="A513" s="290"/>
      <c r="B513" s="290"/>
      <c r="C513" s="290"/>
      <c r="D513" s="279"/>
      <c r="E513" s="28" t="s">
        <v>255</v>
      </c>
      <c r="F513" s="105">
        <f t="shared" si="83"/>
        <v>0</v>
      </c>
      <c r="G513" s="114">
        <v>1</v>
      </c>
      <c r="H513" s="105">
        <f t="shared" si="82"/>
        <v>0</v>
      </c>
      <c r="I513" s="223">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75"/>
        <v>0</v>
      </c>
    </row>
    <row r="514" spans="1:25" ht="54" hidden="1">
      <c r="A514" s="290"/>
      <c r="B514" s="290"/>
      <c r="C514" s="290"/>
      <c r="D514" s="279"/>
      <c r="E514" s="28" t="s">
        <v>256</v>
      </c>
      <c r="F514" s="105">
        <f t="shared" si="83"/>
        <v>0</v>
      </c>
      <c r="G514" s="114">
        <v>1</v>
      </c>
      <c r="H514" s="105">
        <f t="shared" si="82"/>
        <v>0</v>
      </c>
      <c r="I514" s="223">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75"/>
        <v>0</v>
      </c>
    </row>
    <row r="515" spans="1:25" ht="59.25" customHeight="1" hidden="1">
      <c r="A515" s="290"/>
      <c r="B515" s="290"/>
      <c r="C515" s="290"/>
      <c r="D515" s="279"/>
      <c r="E515" s="28" t="s">
        <v>1026</v>
      </c>
      <c r="F515" s="105">
        <f t="shared" si="83"/>
        <v>0</v>
      </c>
      <c r="G515" s="114">
        <v>1</v>
      </c>
      <c r="H515" s="105">
        <f t="shared" si="82"/>
        <v>0</v>
      </c>
      <c r="I515" s="223">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75"/>
        <v>0</v>
      </c>
    </row>
    <row r="516" spans="1:25" ht="59.25" customHeight="1" hidden="1">
      <c r="A516" s="290"/>
      <c r="B516" s="290"/>
      <c r="C516" s="290"/>
      <c r="D516" s="279"/>
      <c r="E516" s="28" t="s">
        <v>357</v>
      </c>
      <c r="F516" s="105">
        <f t="shared" si="83"/>
        <v>0</v>
      </c>
      <c r="G516" s="114">
        <v>1</v>
      </c>
      <c r="H516" s="105">
        <f t="shared" si="82"/>
        <v>0</v>
      </c>
      <c r="I516" s="223">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75"/>
        <v>0</v>
      </c>
    </row>
    <row r="517" spans="1:25" ht="59.25" customHeight="1" hidden="1">
      <c r="A517" s="290"/>
      <c r="B517" s="290"/>
      <c r="C517" s="290"/>
      <c r="D517" s="279"/>
      <c r="E517" s="28" t="s">
        <v>358</v>
      </c>
      <c r="F517" s="105">
        <f t="shared" si="83"/>
        <v>0</v>
      </c>
      <c r="G517" s="114">
        <v>1</v>
      </c>
      <c r="H517" s="105">
        <f t="shared" si="82"/>
        <v>0</v>
      </c>
      <c r="I517" s="223">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75"/>
        <v>0</v>
      </c>
    </row>
    <row r="518" spans="1:25" ht="54" hidden="1">
      <c r="A518" s="290"/>
      <c r="B518" s="290"/>
      <c r="C518" s="290"/>
      <c r="D518" s="279"/>
      <c r="E518" s="28" t="s">
        <v>359</v>
      </c>
      <c r="F518" s="105">
        <f t="shared" si="83"/>
        <v>0</v>
      </c>
      <c r="G518" s="114">
        <v>1</v>
      </c>
      <c r="H518" s="105">
        <f t="shared" si="82"/>
        <v>0</v>
      </c>
      <c r="I518" s="223">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aca="true" t="shared" si="86" ref="Y518:Y581">K518+L518+M518+N518+O518+P518+Q518+R518-X518</f>
        <v>0</v>
      </c>
    </row>
    <row r="519" spans="1:25" ht="54" hidden="1">
      <c r="A519" s="290"/>
      <c r="B519" s="290"/>
      <c r="C519" s="290"/>
      <c r="D519" s="279"/>
      <c r="E519" s="28" t="s">
        <v>360</v>
      </c>
      <c r="F519" s="105">
        <f t="shared" si="83"/>
        <v>0</v>
      </c>
      <c r="G519" s="114">
        <v>1</v>
      </c>
      <c r="H519" s="105">
        <f t="shared" si="82"/>
        <v>0</v>
      </c>
      <c r="I519" s="223">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6"/>
        <v>0</v>
      </c>
    </row>
    <row r="520" spans="1:25" ht="56.25">
      <c r="A520" s="290"/>
      <c r="B520" s="290"/>
      <c r="C520" s="290"/>
      <c r="D520" s="279"/>
      <c r="E520" s="28" t="s">
        <v>60</v>
      </c>
      <c r="F520" s="105"/>
      <c r="G520" s="114"/>
      <c r="H520" s="105"/>
      <c r="I520" s="223">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6"/>
        <v>60000</v>
      </c>
    </row>
    <row r="521" spans="1:25" ht="56.25">
      <c r="A521" s="297"/>
      <c r="B521" s="297"/>
      <c r="C521" s="297"/>
      <c r="D521" s="292"/>
      <c r="E521" s="28" t="s">
        <v>376</v>
      </c>
      <c r="F521" s="105">
        <f t="shared" si="83"/>
        <v>300000</v>
      </c>
      <c r="G521" s="114">
        <v>1</v>
      </c>
      <c r="H521" s="105">
        <f t="shared" si="82"/>
        <v>300000</v>
      </c>
      <c r="I521" s="223">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f>5915</f>
        <v>5915</v>
      </c>
      <c r="Y521" s="29">
        <f t="shared" si="86"/>
        <v>48085</v>
      </c>
    </row>
    <row r="522" spans="1:25" ht="18.75">
      <c r="A522" s="293" t="s">
        <v>710</v>
      </c>
      <c r="B522" s="293" t="s">
        <v>709</v>
      </c>
      <c r="C522" s="293" t="s">
        <v>646</v>
      </c>
      <c r="D522" s="291" t="s">
        <v>1005</v>
      </c>
      <c r="E522" s="28"/>
      <c r="F522" s="28"/>
      <c r="G522" s="28"/>
      <c r="H522" s="28"/>
      <c r="I522" s="226"/>
      <c r="J522" s="60">
        <f>SUM(J523:J523)</f>
        <v>10800000</v>
      </c>
      <c r="K522" s="60">
        <f aca="true" t="shared" si="87" ref="K522:X522">SUM(K523:K523)</f>
        <v>0</v>
      </c>
      <c r="L522" s="60">
        <f t="shared" si="87"/>
        <v>0</v>
      </c>
      <c r="M522" s="60">
        <f t="shared" si="87"/>
        <v>0</v>
      </c>
      <c r="N522" s="60">
        <f t="shared" si="87"/>
        <v>500000</v>
      </c>
      <c r="O522" s="60">
        <f t="shared" si="87"/>
        <v>-29450</v>
      </c>
      <c r="P522" s="60">
        <f t="shared" si="87"/>
        <v>27451</v>
      </c>
      <c r="Q522" s="60">
        <f t="shared" si="87"/>
        <v>506917.78</v>
      </c>
      <c r="R522" s="60">
        <f t="shared" si="87"/>
        <v>500000</v>
      </c>
      <c r="S522" s="60">
        <f t="shared" si="87"/>
        <v>0</v>
      </c>
      <c r="T522" s="60">
        <f t="shared" si="87"/>
        <v>1472549</v>
      </c>
      <c r="U522" s="60">
        <f t="shared" si="87"/>
        <v>2025284.33</v>
      </c>
      <c r="V522" s="60">
        <f t="shared" si="87"/>
        <v>5797247.890000001</v>
      </c>
      <c r="W522" s="60">
        <f t="shared" si="87"/>
        <v>0</v>
      </c>
      <c r="X522" s="60">
        <f t="shared" si="87"/>
        <v>991720.2200000001</v>
      </c>
      <c r="Y522" s="29">
        <f t="shared" si="86"/>
        <v>513198.55999999994</v>
      </c>
    </row>
    <row r="523" spans="1:25" ht="96" customHeight="1">
      <c r="A523" s="299"/>
      <c r="B523" s="294"/>
      <c r="C523" s="299"/>
      <c r="D523" s="291"/>
      <c r="E523" s="28" t="s">
        <v>361</v>
      </c>
      <c r="F523" s="105">
        <f>J523</f>
        <v>10800000</v>
      </c>
      <c r="G523" s="114">
        <v>1</v>
      </c>
      <c r="H523" s="105">
        <f t="shared" si="82"/>
        <v>10800000</v>
      </c>
      <c r="I523" s="223" t="s">
        <v>25</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95490.5+24286.92+42550.68+206494.73+99060.72+23318+6799.45+453830.42+39888.8</f>
        <v>991720.2200000001</v>
      </c>
      <c r="Y523" s="29">
        <f>K523+L523+M523+N523+O523+P523+Q523+R523-X523</f>
        <v>513198.55999999994</v>
      </c>
    </row>
    <row r="524" spans="1:25" ht="18.75">
      <c r="A524" s="289" t="s">
        <v>1157</v>
      </c>
      <c r="B524" s="289" t="s">
        <v>760</v>
      </c>
      <c r="C524" s="289" t="s">
        <v>280</v>
      </c>
      <c r="D524" s="278" t="s">
        <v>1156</v>
      </c>
      <c r="E524" s="28"/>
      <c r="F524" s="28"/>
      <c r="G524" s="28"/>
      <c r="H524" s="28"/>
      <c r="I524" s="226"/>
      <c r="J524" s="60">
        <f>SUM(J525:J594)</f>
        <v>18537118.32</v>
      </c>
      <c r="K524" s="60">
        <f aca="true" t="shared" si="88" ref="K524:X524">SUM(K525:K594)</f>
        <v>0</v>
      </c>
      <c r="L524" s="60">
        <f t="shared" si="88"/>
        <v>1260000</v>
      </c>
      <c r="M524" s="60">
        <f t="shared" si="88"/>
        <v>3068060</v>
      </c>
      <c r="N524" s="60">
        <f t="shared" si="88"/>
        <v>4462200</v>
      </c>
      <c r="O524" s="60">
        <f t="shared" si="88"/>
        <v>-245120</v>
      </c>
      <c r="P524" s="60">
        <f t="shared" si="88"/>
        <v>1088100</v>
      </c>
      <c r="Q524" s="60">
        <f t="shared" si="88"/>
        <v>1435916.0999999992</v>
      </c>
      <c r="R524" s="60">
        <f t="shared" si="88"/>
        <v>1558003.34</v>
      </c>
      <c r="S524" s="60">
        <f t="shared" si="88"/>
        <v>409914.11</v>
      </c>
      <c r="T524" s="60">
        <f t="shared" si="88"/>
        <v>2166680</v>
      </c>
      <c r="U524" s="60">
        <f t="shared" si="88"/>
        <v>1931552.6600000001</v>
      </c>
      <c r="V524" s="60">
        <f t="shared" si="88"/>
        <v>1401812.11</v>
      </c>
      <c r="W524" s="60">
        <f t="shared" si="88"/>
        <v>-1.2369127944111824E-10</v>
      </c>
      <c r="X524" s="60">
        <f t="shared" si="88"/>
        <v>7329003.180000001</v>
      </c>
      <c r="Y524" s="29">
        <f t="shared" si="86"/>
        <v>5298156.259999999</v>
      </c>
    </row>
    <row r="525" spans="1:25" ht="44.25" customHeight="1">
      <c r="A525" s="290"/>
      <c r="B525" s="290"/>
      <c r="C525" s="290"/>
      <c r="D525" s="279"/>
      <c r="E525" s="73" t="s">
        <v>1031</v>
      </c>
      <c r="F525" s="105">
        <f>J525</f>
        <v>20000</v>
      </c>
      <c r="G525" s="114">
        <v>1</v>
      </c>
      <c r="H525" s="105">
        <f t="shared" si="82"/>
        <v>20000</v>
      </c>
      <c r="I525" s="223">
        <v>3142</v>
      </c>
      <c r="J525" s="54">
        <v>20000</v>
      </c>
      <c r="K525" s="29"/>
      <c r="L525" s="29"/>
      <c r="M525" s="29"/>
      <c r="N525" s="29"/>
      <c r="O525" s="29"/>
      <c r="P525" s="29"/>
      <c r="Q525" s="29"/>
      <c r="R525" s="29"/>
      <c r="S525" s="29">
        <v>2000</v>
      </c>
      <c r="T525" s="29">
        <v>14000</v>
      </c>
      <c r="U525" s="29"/>
      <c r="V525" s="29">
        <v>4000</v>
      </c>
      <c r="W525" s="29">
        <f t="shared" si="74"/>
        <v>0</v>
      </c>
      <c r="X525" s="29"/>
      <c r="Y525" s="29">
        <f t="shared" si="86"/>
        <v>0</v>
      </c>
    </row>
    <row r="526" spans="1:25" ht="45.75" customHeight="1">
      <c r="A526" s="290"/>
      <c r="B526" s="290"/>
      <c r="C526" s="290"/>
      <c r="D526" s="279"/>
      <c r="E526" s="73" t="s">
        <v>1032</v>
      </c>
      <c r="F526" s="105">
        <f aca="true" t="shared" si="89" ref="F526:F594">J526</f>
        <v>20000</v>
      </c>
      <c r="G526" s="114">
        <v>1</v>
      </c>
      <c r="H526" s="105">
        <f t="shared" si="82"/>
        <v>20000</v>
      </c>
      <c r="I526" s="223">
        <v>3142</v>
      </c>
      <c r="J526" s="54">
        <v>20000</v>
      </c>
      <c r="K526" s="29"/>
      <c r="L526" s="29"/>
      <c r="M526" s="29"/>
      <c r="N526" s="29"/>
      <c r="O526" s="29"/>
      <c r="P526" s="29"/>
      <c r="Q526" s="29"/>
      <c r="R526" s="29"/>
      <c r="S526" s="29">
        <v>2000</v>
      </c>
      <c r="T526" s="29">
        <v>14000</v>
      </c>
      <c r="U526" s="29"/>
      <c r="V526" s="29">
        <v>4000</v>
      </c>
      <c r="W526" s="29">
        <f t="shared" si="74"/>
        <v>0</v>
      </c>
      <c r="X526" s="29"/>
      <c r="Y526" s="29">
        <f t="shared" si="86"/>
        <v>0</v>
      </c>
    </row>
    <row r="527" spans="1:25" ht="150">
      <c r="A527" s="290"/>
      <c r="B527" s="290"/>
      <c r="C527" s="290"/>
      <c r="D527" s="279"/>
      <c r="E527" s="189" t="s">
        <v>494</v>
      </c>
      <c r="F527" s="199">
        <f t="shared" si="89"/>
        <v>270000</v>
      </c>
      <c r="G527" s="200">
        <v>1</v>
      </c>
      <c r="H527" s="199">
        <f t="shared" si="82"/>
        <v>270000</v>
      </c>
      <c r="I527" s="230">
        <v>3142</v>
      </c>
      <c r="J527" s="207">
        <v>270000</v>
      </c>
      <c r="K527" s="180"/>
      <c r="L527" s="180">
        <v>270000</v>
      </c>
      <c r="M527" s="180"/>
      <c r="N527" s="180"/>
      <c r="O527" s="180"/>
      <c r="P527" s="180"/>
      <c r="Q527" s="180"/>
      <c r="R527" s="180"/>
      <c r="S527" s="180"/>
      <c r="T527" s="180"/>
      <c r="U527" s="180"/>
      <c r="V527" s="180"/>
      <c r="W527" s="29">
        <f t="shared" si="74"/>
        <v>0</v>
      </c>
      <c r="X527" s="29">
        <f>5382</f>
        <v>5382</v>
      </c>
      <c r="Y527" s="29">
        <f t="shared" si="86"/>
        <v>264618</v>
      </c>
    </row>
    <row r="528" spans="1:25" ht="75">
      <c r="A528" s="290"/>
      <c r="B528" s="290"/>
      <c r="C528" s="290"/>
      <c r="D528" s="279"/>
      <c r="E528" s="73" t="s">
        <v>769</v>
      </c>
      <c r="F528" s="105">
        <f t="shared" si="89"/>
        <v>150000</v>
      </c>
      <c r="G528" s="114">
        <v>1</v>
      </c>
      <c r="H528" s="105">
        <f t="shared" si="82"/>
        <v>150000</v>
      </c>
      <c r="I528" s="223">
        <v>3142</v>
      </c>
      <c r="J528" s="54">
        <v>150000</v>
      </c>
      <c r="K528" s="29"/>
      <c r="L528" s="29"/>
      <c r="M528" s="29"/>
      <c r="N528" s="29"/>
      <c r="O528" s="29"/>
      <c r="P528" s="29"/>
      <c r="Q528" s="29"/>
      <c r="R528" s="29"/>
      <c r="S528" s="29">
        <v>15000</v>
      </c>
      <c r="T528" s="29">
        <v>105000</v>
      </c>
      <c r="U528" s="29"/>
      <c r="V528" s="29">
        <v>30000</v>
      </c>
      <c r="W528" s="29">
        <f aca="true" t="shared" si="90" ref="W528:W606">J528-K528-L528-M528-N528-O528-P528-Q528-R528-S528-T528-U528-V528</f>
        <v>0</v>
      </c>
      <c r="X528" s="29"/>
      <c r="Y528" s="29">
        <f t="shared" si="86"/>
        <v>0</v>
      </c>
    </row>
    <row r="529" spans="1:25" ht="56.25">
      <c r="A529" s="290"/>
      <c r="B529" s="290"/>
      <c r="C529" s="290"/>
      <c r="D529" s="279"/>
      <c r="E529" s="73" t="s">
        <v>770</v>
      </c>
      <c r="F529" s="105">
        <f t="shared" si="89"/>
        <v>80000</v>
      </c>
      <c r="G529" s="114">
        <v>1</v>
      </c>
      <c r="H529" s="105">
        <f t="shared" si="82"/>
        <v>80000</v>
      </c>
      <c r="I529" s="223">
        <v>3142</v>
      </c>
      <c r="J529" s="54">
        <v>80000</v>
      </c>
      <c r="K529" s="29"/>
      <c r="L529" s="29"/>
      <c r="M529" s="29"/>
      <c r="N529" s="29"/>
      <c r="O529" s="29"/>
      <c r="P529" s="29"/>
      <c r="Q529" s="29"/>
      <c r="R529" s="29"/>
      <c r="S529" s="29">
        <v>8000</v>
      </c>
      <c r="T529" s="29">
        <v>56000</v>
      </c>
      <c r="U529" s="29"/>
      <c r="V529" s="29">
        <v>16000</v>
      </c>
      <c r="W529" s="29">
        <f t="shared" si="90"/>
        <v>0</v>
      </c>
      <c r="X529" s="29"/>
      <c r="Y529" s="29">
        <f t="shared" si="86"/>
        <v>0</v>
      </c>
    </row>
    <row r="530" spans="1:25" ht="75">
      <c r="A530" s="290"/>
      <c r="B530" s="290"/>
      <c r="C530" s="290"/>
      <c r="D530" s="279"/>
      <c r="E530" s="73" t="s">
        <v>782</v>
      </c>
      <c r="F530" s="105">
        <f t="shared" si="89"/>
        <v>45000</v>
      </c>
      <c r="G530" s="114"/>
      <c r="H530" s="105">
        <f t="shared" si="82"/>
        <v>45000</v>
      </c>
      <c r="I530" s="223">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6"/>
        <v>45000</v>
      </c>
    </row>
    <row r="531" spans="1:25" ht="54" hidden="1">
      <c r="A531" s="290"/>
      <c r="B531" s="290"/>
      <c r="C531" s="290"/>
      <c r="D531" s="279"/>
      <c r="E531" s="73" t="s">
        <v>773</v>
      </c>
      <c r="F531" s="105">
        <f t="shared" si="89"/>
        <v>0</v>
      </c>
      <c r="G531" s="114"/>
      <c r="H531" s="105">
        <f t="shared" si="82"/>
        <v>0</v>
      </c>
      <c r="I531" s="223">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6"/>
        <v>0</v>
      </c>
    </row>
    <row r="532" spans="1:25" ht="37.5">
      <c r="A532" s="290"/>
      <c r="B532" s="290"/>
      <c r="C532" s="290"/>
      <c r="D532" s="279"/>
      <c r="E532" s="73" t="s">
        <v>432</v>
      </c>
      <c r="F532" s="105">
        <f t="shared" si="89"/>
        <v>627000</v>
      </c>
      <c r="G532" s="114">
        <v>1</v>
      </c>
      <c r="H532" s="105">
        <f t="shared" si="82"/>
        <v>627000</v>
      </c>
      <c r="I532" s="223">
        <v>3142</v>
      </c>
      <c r="J532" s="54">
        <v>627000</v>
      </c>
      <c r="K532" s="29"/>
      <c r="L532" s="29"/>
      <c r="M532" s="29">
        <v>627000</v>
      </c>
      <c r="N532" s="29"/>
      <c r="O532" s="29"/>
      <c r="P532" s="29"/>
      <c r="Q532" s="29">
        <v>-10000</v>
      </c>
      <c r="R532" s="29"/>
      <c r="S532" s="29"/>
      <c r="T532" s="29"/>
      <c r="U532" s="29"/>
      <c r="V532" s="29">
        <v>10000</v>
      </c>
      <c r="W532" s="29">
        <f t="shared" si="90"/>
        <v>0</v>
      </c>
      <c r="X532" s="29">
        <f>10631.39+24806.59</f>
        <v>35437.979999999996</v>
      </c>
      <c r="Y532" s="29">
        <f t="shared" si="86"/>
        <v>581562.02</v>
      </c>
    </row>
    <row r="533" spans="1:25" ht="36" hidden="1">
      <c r="A533" s="290"/>
      <c r="B533" s="290"/>
      <c r="C533" s="290"/>
      <c r="D533" s="279"/>
      <c r="E533" s="73" t="s">
        <v>713</v>
      </c>
      <c r="F533" s="105">
        <f t="shared" si="89"/>
        <v>0</v>
      </c>
      <c r="G533" s="114">
        <v>1</v>
      </c>
      <c r="H533" s="105">
        <f t="shared" si="82"/>
        <v>0</v>
      </c>
      <c r="I533" s="223">
        <v>3142</v>
      </c>
      <c r="J533" s="54">
        <f>300000-200000-100000</f>
        <v>0</v>
      </c>
      <c r="K533" s="29"/>
      <c r="L533" s="29"/>
      <c r="M533" s="29"/>
      <c r="N533" s="29"/>
      <c r="O533" s="29"/>
      <c r="P533" s="29"/>
      <c r="Q533" s="29"/>
      <c r="R533" s="29"/>
      <c r="S533" s="29"/>
      <c r="T533" s="29"/>
      <c r="U533" s="29">
        <f>300000-200000-100000</f>
        <v>0</v>
      </c>
      <c r="V533" s="29"/>
      <c r="W533" s="29">
        <f aca="true" t="shared" si="91" ref="W533:W542">J533-K533-L533-M533-N533-O533-P533-Q533-R533-S533-T533-U533-V533</f>
        <v>0</v>
      </c>
      <c r="X533" s="29"/>
      <c r="Y533" s="29">
        <f t="shared" si="86"/>
        <v>0</v>
      </c>
    </row>
    <row r="534" spans="1:25" ht="75">
      <c r="A534" s="290"/>
      <c r="B534" s="290"/>
      <c r="C534" s="290"/>
      <c r="D534" s="279"/>
      <c r="E534" s="73" t="s">
        <v>476</v>
      </c>
      <c r="F534" s="105"/>
      <c r="G534" s="114"/>
      <c r="H534" s="105"/>
      <c r="I534" s="223">
        <v>3142</v>
      </c>
      <c r="J534" s="54">
        <v>3600000</v>
      </c>
      <c r="K534" s="29"/>
      <c r="L534" s="29"/>
      <c r="M534" s="29">
        <v>100000</v>
      </c>
      <c r="N534" s="29"/>
      <c r="O534" s="29"/>
      <c r="P534" s="29"/>
      <c r="Q534" s="29">
        <f>1700000-1730792.11</f>
        <v>-30792.110000000102</v>
      </c>
      <c r="R534" s="29">
        <f>1800000-35000-180000</f>
        <v>1585000</v>
      </c>
      <c r="S534" s="29"/>
      <c r="T534" s="29">
        <f>180000</f>
        <v>180000</v>
      </c>
      <c r="U534" s="29">
        <f>1165185.32</f>
        <v>1165185.32</v>
      </c>
      <c r="V534" s="29">
        <f>565606.79+35000</f>
        <v>600606.79</v>
      </c>
      <c r="W534" s="29">
        <f t="shared" si="91"/>
        <v>0</v>
      </c>
      <c r="X534" s="29">
        <f>69207.89+1045800</f>
        <v>1115007.89</v>
      </c>
      <c r="Y534" s="29">
        <f t="shared" si="86"/>
        <v>539200</v>
      </c>
    </row>
    <row r="535" spans="1:25" ht="135.75" customHeight="1" hidden="1">
      <c r="A535" s="290"/>
      <c r="B535" s="290"/>
      <c r="C535" s="290"/>
      <c r="D535" s="279"/>
      <c r="E535" s="189" t="s">
        <v>943</v>
      </c>
      <c r="F535" s="199">
        <f t="shared" si="89"/>
        <v>0</v>
      </c>
      <c r="G535" s="200">
        <v>1</v>
      </c>
      <c r="H535" s="199">
        <f t="shared" si="82"/>
        <v>0</v>
      </c>
      <c r="I535" s="230">
        <v>3142</v>
      </c>
      <c r="J535" s="207">
        <f>990000-990000</f>
        <v>0</v>
      </c>
      <c r="K535" s="180"/>
      <c r="L535" s="180">
        <v>990000</v>
      </c>
      <c r="M535" s="180"/>
      <c r="N535" s="180">
        <v>-990000</v>
      </c>
      <c r="O535" s="180"/>
      <c r="P535" s="180"/>
      <c r="Q535" s="180"/>
      <c r="R535" s="180"/>
      <c r="S535" s="180"/>
      <c r="T535" s="180"/>
      <c r="U535" s="180"/>
      <c r="V535" s="180"/>
      <c r="W535" s="29">
        <f t="shared" si="91"/>
        <v>0</v>
      </c>
      <c r="X535" s="29"/>
      <c r="Y535" s="29">
        <f t="shared" si="86"/>
        <v>0</v>
      </c>
    </row>
    <row r="536" spans="1:25" ht="56.25">
      <c r="A536" s="290"/>
      <c r="B536" s="290"/>
      <c r="C536" s="290"/>
      <c r="D536" s="279"/>
      <c r="E536" s="73" t="s">
        <v>538</v>
      </c>
      <c r="F536" s="105"/>
      <c r="G536" s="114"/>
      <c r="H536" s="105"/>
      <c r="I536" s="223">
        <v>3142</v>
      </c>
      <c r="J536" s="54">
        <v>143000</v>
      </c>
      <c r="K536" s="29"/>
      <c r="L536" s="29"/>
      <c r="M536" s="29"/>
      <c r="N536" s="29"/>
      <c r="O536" s="29"/>
      <c r="P536" s="29"/>
      <c r="Q536" s="29"/>
      <c r="R536" s="29">
        <v>65780</v>
      </c>
      <c r="S536" s="29">
        <v>32890</v>
      </c>
      <c r="T536" s="29">
        <f>32890</f>
        <v>32890</v>
      </c>
      <c r="U536" s="29">
        <f>11440</f>
        <v>11440</v>
      </c>
      <c r="V536" s="29"/>
      <c r="W536" s="29">
        <f t="shared" si="91"/>
        <v>0</v>
      </c>
      <c r="X536" s="29"/>
      <c r="Y536" s="29">
        <f t="shared" si="86"/>
        <v>65780</v>
      </c>
    </row>
    <row r="537" spans="1:25" ht="56.25">
      <c r="A537" s="290"/>
      <c r="B537" s="290"/>
      <c r="C537" s="290"/>
      <c r="D537" s="279"/>
      <c r="E537" s="73" t="s">
        <v>539</v>
      </c>
      <c r="F537" s="105"/>
      <c r="G537" s="114"/>
      <c r="H537" s="105"/>
      <c r="I537" s="223">
        <v>3142</v>
      </c>
      <c r="J537" s="54">
        <v>143000</v>
      </c>
      <c r="K537" s="29"/>
      <c r="L537" s="29"/>
      <c r="M537" s="29"/>
      <c r="N537" s="29"/>
      <c r="O537" s="29"/>
      <c r="P537" s="29"/>
      <c r="Q537" s="29"/>
      <c r="R537" s="29">
        <v>65780</v>
      </c>
      <c r="S537" s="29">
        <v>32890</v>
      </c>
      <c r="T537" s="29">
        <f>32890</f>
        <v>32890</v>
      </c>
      <c r="U537" s="29">
        <f>11440</f>
        <v>11440</v>
      </c>
      <c r="V537" s="29"/>
      <c r="W537" s="29">
        <f t="shared" si="91"/>
        <v>0</v>
      </c>
      <c r="X537" s="29"/>
      <c r="Y537" s="29">
        <f t="shared" si="86"/>
        <v>65780</v>
      </c>
    </row>
    <row r="538" spans="1:25" ht="37.5">
      <c r="A538" s="290"/>
      <c r="B538" s="290"/>
      <c r="C538" s="290"/>
      <c r="D538" s="279"/>
      <c r="E538" s="73" t="s">
        <v>17</v>
      </c>
      <c r="F538" s="105"/>
      <c r="G538" s="114"/>
      <c r="H538" s="105"/>
      <c r="I538" s="223">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1"/>
        <v>0</v>
      </c>
      <c r="X538" s="29">
        <f>13324.96+543023.67+128803.36+7677.22</f>
        <v>692829.21</v>
      </c>
      <c r="Y538" s="29">
        <f t="shared" si="86"/>
        <v>207170.79000000004</v>
      </c>
    </row>
    <row r="539" spans="1:25" ht="56.25">
      <c r="A539" s="290"/>
      <c r="B539" s="290"/>
      <c r="C539" s="290"/>
      <c r="D539" s="279"/>
      <c r="E539" s="73" t="s">
        <v>63</v>
      </c>
      <c r="F539" s="105"/>
      <c r="G539" s="114"/>
      <c r="H539" s="105"/>
      <c r="I539" s="223">
        <v>3122</v>
      </c>
      <c r="J539" s="54">
        <v>180000</v>
      </c>
      <c r="K539" s="29"/>
      <c r="L539" s="29"/>
      <c r="M539" s="29"/>
      <c r="N539" s="29"/>
      <c r="O539" s="29"/>
      <c r="P539" s="29"/>
      <c r="Q539" s="29">
        <v>18000</v>
      </c>
      <c r="R539" s="29">
        <v>26443.34</v>
      </c>
      <c r="S539" s="29"/>
      <c r="T539" s="29"/>
      <c r="U539" s="29">
        <v>44443.34</v>
      </c>
      <c r="V539" s="29">
        <v>91113.32</v>
      </c>
      <c r="W539" s="29">
        <f t="shared" si="91"/>
        <v>0</v>
      </c>
      <c r="X539" s="29">
        <f>9200</f>
        <v>9200</v>
      </c>
      <c r="Y539" s="29">
        <f t="shared" si="86"/>
        <v>35243.34</v>
      </c>
    </row>
    <row r="540" spans="1:25" ht="36" hidden="1">
      <c r="A540" s="290"/>
      <c r="B540" s="290"/>
      <c r="C540" s="290"/>
      <c r="D540" s="279"/>
      <c r="E540" s="73" t="s">
        <v>18</v>
      </c>
      <c r="F540" s="105"/>
      <c r="G540" s="114"/>
      <c r="H540" s="105"/>
      <c r="I540" s="223">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 t="shared" si="86"/>
        <v>0</v>
      </c>
    </row>
    <row r="541" spans="1:25" ht="56.25">
      <c r="A541" s="290"/>
      <c r="B541" s="290"/>
      <c r="C541" s="290"/>
      <c r="D541" s="279"/>
      <c r="E541" s="73" t="s">
        <v>558</v>
      </c>
      <c r="F541" s="105"/>
      <c r="G541" s="114"/>
      <c r="H541" s="105"/>
      <c r="I541" s="223">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 t="shared" si="86"/>
        <v>0</v>
      </c>
    </row>
    <row r="542" spans="1:25" ht="56.25">
      <c r="A542" s="290"/>
      <c r="B542" s="290"/>
      <c r="C542" s="290"/>
      <c r="D542" s="279"/>
      <c r="E542" s="73" t="s">
        <v>856</v>
      </c>
      <c r="F542" s="105"/>
      <c r="G542" s="114"/>
      <c r="H542" s="105"/>
      <c r="I542" s="223">
        <v>3122</v>
      </c>
      <c r="J542" s="54">
        <v>1500000</v>
      </c>
      <c r="K542" s="29"/>
      <c r="L542" s="29"/>
      <c r="M542" s="29"/>
      <c r="N542" s="29"/>
      <c r="O542" s="29"/>
      <c r="P542" s="29">
        <v>88100</v>
      </c>
      <c r="Q542" s="29"/>
      <c r="R542" s="29">
        <f>850000-900000</f>
        <v>-50000</v>
      </c>
      <c r="S542" s="29">
        <f>350000-350000</f>
        <v>0</v>
      </c>
      <c r="T542" s="29">
        <f>300000-88100+1250000</f>
        <v>1461900</v>
      </c>
      <c r="U542" s="29"/>
      <c r="V542" s="29"/>
      <c r="W542" s="29">
        <f t="shared" si="91"/>
        <v>0</v>
      </c>
      <c r="X542" s="29">
        <v>26405.07</v>
      </c>
      <c r="Y542" s="29">
        <f t="shared" si="86"/>
        <v>11694.93</v>
      </c>
    </row>
    <row r="543" spans="1:25" ht="56.25">
      <c r="A543" s="290"/>
      <c r="B543" s="290"/>
      <c r="C543" s="290"/>
      <c r="D543" s="279"/>
      <c r="E543" s="73" t="s">
        <v>106</v>
      </c>
      <c r="F543" s="105">
        <f t="shared" si="89"/>
        <v>50000</v>
      </c>
      <c r="G543" s="114">
        <v>1</v>
      </c>
      <c r="H543" s="105">
        <f t="shared" si="82"/>
        <v>50000</v>
      </c>
      <c r="I543" s="223">
        <v>3122</v>
      </c>
      <c r="J543" s="54">
        <v>50000</v>
      </c>
      <c r="K543" s="29"/>
      <c r="L543" s="29"/>
      <c r="M543" s="29"/>
      <c r="N543" s="29"/>
      <c r="O543" s="29"/>
      <c r="P543" s="29"/>
      <c r="Q543" s="29"/>
      <c r="R543" s="29">
        <v>50000</v>
      </c>
      <c r="S543" s="29"/>
      <c r="T543" s="29"/>
      <c r="U543" s="29"/>
      <c r="V543" s="29"/>
      <c r="W543" s="29">
        <f t="shared" si="90"/>
        <v>0</v>
      </c>
      <c r="X543" s="29"/>
      <c r="Y543" s="29">
        <f t="shared" si="86"/>
        <v>50000</v>
      </c>
    </row>
    <row r="544" spans="1:25" ht="42" customHeight="1">
      <c r="A544" s="290"/>
      <c r="B544" s="290"/>
      <c r="C544" s="290"/>
      <c r="D544" s="279"/>
      <c r="E544" s="73" t="s">
        <v>771</v>
      </c>
      <c r="F544" s="105">
        <f t="shared" si="89"/>
        <v>50000</v>
      </c>
      <c r="G544" s="114">
        <v>1</v>
      </c>
      <c r="H544" s="105">
        <f t="shared" si="82"/>
        <v>50000</v>
      </c>
      <c r="I544" s="223">
        <v>3122</v>
      </c>
      <c r="J544" s="54">
        <v>50000</v>
      </c>
      <c r="K544" s="29"/>
      <c r="L544" s="29"/>
      <c r="M544" s="29"/>
      <c r="N544" s="29"/>
      <c r="O544" s="29"/>
      <c r="P544" s="29"/>
      <c r="Q544" s="29"/>
      <c r="R544" s="29">
        <v>50000</v>
      </c>
      <c r="S544" s="29"/>
      <c r="T544" s="29"/>
      <c r="U544" s="29"/>
      <c r="V544" s="29"/>
      <c r="W544" s="29">
        <f t="shared" si="90"/>
        <v>0</v>
      </c>
      <c r="X544" s="29"/>
      <c r="Y544" s="29">
        <f t="shared" si="86"/>
        <v>50000</v>
      </c>
    </row>
    <row r="545" spans="1:25" ht="112.5">
      <c r="A545" s="290"/>
      <c r="B545" s="290"/>
      <c r="C545" s="290"/>
      <c r="D545" s="279"/>
      <c r="E545" s="28" t="s">
        <v>683</v>
      </c>
      <c r="F545" s="105">
        <f t="shared" si="89"/>
        <v>58000</v>
      </c>
      <c r="G545" s="114">
        <v>1</v>
      </c>
      <c r="H545" s="105">
        <f t="shared" si="82"/>
        <v>58000</v>
      </c>
      <c r="I545" s="223">
        <v>3122</v>
      </c>
      <c r="J545" s="47">
        <v>58000</v>
      </c>
      <c r="K545" s="29"/>
      <c r="L545" s="29"/>
      <c r="M545" s="29">
        <v>5800</v>
      </c>
      <c r="N545" s="29">
        <v>40600</v>
      </c>
      <c r="O545" s="29"/>
      <c r="P545" s="29"/>
      <c r="Q545" s="29">
        <v>11600</v>
      </c>
      <c r="R545" s="29"/>
      <c r="S545" s="29"/>
      <c r="T545" s="29"/>
      <c r="U545" s="29"/>
      <c r="V545" s="29"/>
      <c r="W545" s="29">
        <f t="shared" si="90"/>
        <v>0</v>
      </c>
      <c r="X545" s="29">
        <f>22000+20700</f>
        <v>42700</v>
      </c>
      <c r="Y545" s="29">
        <f t="shared" si="86"/>
        <v>15300</v>
      </c>
    </row>
    <row r="546" spans="1:25" ht="75">
      <c r="A546" s="290"/>
      <c r="B546" s="290"/>
      <c r="C546" s="290"/>
      <c r="D546" s="279"/>
      <c r="E546" s="28" t="s">
        <v>772</v>
      </c>
      <c r="F546" s="105">
        <f t="shared" si="89"/>
        <v>58000</v>
      </c>
      <c r="G546" s="114">
        <v>1</v>
      </c>
      <c r="H546" s="105">
        <f t="shared" si="82"/>
        <v>58000</v>
      </c>
      <c r="I546" s="223">
        <v>3122</v>
      </c>
      <c r="J546" s="47">
        <v>58000</v>
      </c>
      <c r="K546" s="29"/>
      <c r="L546" s="29"/>
      <c r="M546" s="29">
        <f>5800+1700</f>
        <v>7500</v>
      </c>
      <c r="N546" s="29">
        <v>40600</v>
      </c>
      <c r="O546" s="29"/>
      <c r="P546" s="29"/>
      <c r="Q546" s="29">
        <f>11600-1700</f>
        <v>9900</v>
      </c>
      <c r="R546" s="29"/>
      <c r="S546" s="29"/>
      <c r="T546" s="29"/>
      <c r="U546" s="29"/>
      <c r="V546" s="29"/>
      <c r="W546" s="29">
        <f t="shared" si="90"/>
        <v>0</v>
      </c>
      <c r="X546" s="29">
        <f>16500</f>
        <v>16500</v>
      </c>
      <c r="Y546" s="29">
        <f t="shared" si="86"/>
        <v>41500</v>
      </c>
    </row>
    <row r="547" spans="1:25" ht="81.75" customHeight="1">
      <c r="A547" s="290"/>
      <c r="B547" s="290"/>
      <c r="C547" s="290"/>
      <c r="D547" s="279"/>
      <c r="E547" s="28" t="s">
        <v>862</v>
      </c>
      <c r="F547" s="105">
        <f t="shared" si="89"/>
        <v>58000</v>
      </c>
      <c r="G547" s="114">
        <v>1</v>
      </c>
      <c r="H547" s="105">
        <f t="shared" si="82"/>
        <v>58000</v>
      </c>
      <c r="I547" s="223">
        <v>3122</v>
      </c>
      <c r="J547" s="47">
        <v>58000</v>
      </c>
      <c r="K547" s="29"/>
      <c r="L547" s="29"/>
      <c r="M547" s="29">
        <f>5800+1700</f>
        <v>7500</v>
      </c>
      <c r="N547" s="29">
        <v>40600</v>
      </c>
      <c r="O547" s="29"/>
      <c r="P547" s="29"/>
      <c r="Q547" s="29">
        <f>11600-1700</f>
        <v>9900</v>
      </c>
      <c r="R547" s="29"/>
      <c r="S547" s="29"/>
      <c r="T547" s="29"/>
      <c r="U547" s="29"/>
      <c r="V547" s="29"/>
      <c r="W547" s="29">
        <f t="shared" si="90"/>
        <v>0</v>
      </c>
      <c r="X547" s="29">
        <f>7500+12300</f>
        <v>19800</v>
      </c>
      <c r="Y547" s="29">
        <f t="shared" si="86"/>
        <v>38200</v>
      </c>
    </row>
    <row r="548" spans="1:25" ht="81.75" customHeight="1">
      <c r="A548" s="290"/>
      <c r="B548" s="290"/>
      <c r="C548" s="290"/>
      <c r="D548" s="279"/>
      <c r="E548" s="28" t="s">
        <v>315</v>
      </c>
      <c r="F548" s="105">
        <f t="shared" si="89"/>
        <v>232000</v>
      </c>
      <c r="G548" s="114"/>
      <c r="H548" s="105">
        <f t="shared" si="82"/>
        <v>232000</v>
      </c>
      <c r="I548" s="223">
        <v>3122</v>
      </c>
      <c r="J548" s="47">
        <v>232000</v>
      </c>
      <c r="K548" s="29"/>
      <c r="L548" s="29"/>
      <c r="M548" s="29"/>
      <c r="N548" s="29"/>
      <c r="O548" s="29"/>
      <c r="P548" s="29"/>
      <c r="Q548" s="29">
        <v>116000</v>
      </c>
      <c r="R548" s="29"/>
      <c r="S548" s="29">
        <v>116000</v>
      </c>
      <c r="T548" s="29"/>
      <c r="U548" s="29"/>
      <c r="V548" s="29"/>
      <c r="W548" s="29">
        <f t="shared" si="90"/>
        <v>0</v>
      </c>
      <c r="X548" s="29">
        <f>16000</f>
        <v>16000</v>
      </c>
      <c r="Y548" s="29">
        <f t="shared" si="86"/>
        <v>100000</v>
      </c>
    </row>
    <row r="549" spans="1:25" ht="93.75">
      <c r="A549" s="290"/>
      <c r="B549" s="290"/>
      <c r="C549" s="290"/>
      <c r="D549" s="279"/>
      <c r="E549" s="28" t="s">
        <v>287</v>
      </c>
      <c r="F549" s="105">
        <f t="shared" si="89"/>
        <v>58000</v>
      </c>
      <c r="G549" s="114">
        <v>1</v>
      </c>
      <c r="H549" s="105">
        <f t="shared" si="82"/>
        <v>58000</v>
      </c>
      <c r="I549" s="223">
        <v>3122</v>
      </c>
      <c r="J549" s="47">
        <v>58000</v>
      </c>
      <c r="K549" s="29"/>
      <c r="L549" s="29"/>
      <c r="M549" s="29">
        <v>5800</v>
      </c>
      <c r="N549" s="29">
        <v>40600</v>
      </c>
      <c r="O549" s="29"/>
      <c r="P549" s="29"/>
      <c r="Q549" s="29">
        <v>11600</v>
      </c>
      <c r="R549" s="29"/>
      <c r="S549" s="29"/>
      <c r="T549" s="29"/>
      <c r="U549" s="29"/>
      <c r="V549" s="29"/>
      <c r="W549" s="29">
        <f t="shared" si="90"/>
        <v>0</v>
      </c>
      <c r="X549" s="29">
        <f>11500+3500</f>
        <v>15000</v>
      </c>
      <c r="Y549" s="29">
        <f t="shared" si="86"/>
        <v>43000</v>
      </c>
    </row>
    <row r="550" spans="1:25" ht="75">
      <c r="A550" s="290"/>
      <c r="B550" s="290"/>
      <c r="C550" s="290"/>
      <c r="D550" s="279"/>
      <c r="E550" s="28" t="s">
        <v>681</v>
      </c>
      <c r="F550" s="105">
        <f t="shared" si="89"/>
        <v>437152.61</v>
      </c>
      <c r="G550" s="114">
        <v>1</v>
      </c>
      <c r="H550" s="105">
        <f t="shared" si="82"/>
        <v>437152.61</v>
      </c>
      <c r="I550" s="223">
        <v>3122</v>
      </c>
      <c r="J550" s="47">
        <f>390000+47152.61</f>
        <v>437152.61</v>
      </c>
      <c r="K550" s="29"/>
      <c r="L550" s="29"/>
      <c r="M550" s="29">
        <v>39000</v>
      </c>
      <c r="N550" s="29">
        <v>273000</v>
      </c>
      <c r="O550" s="29"/>
      <c r="P550" s="29"/>
      <c r="Q550" s="29">
        <f>78000+47152.61</f>
        <v>125152.61</v>
      </c>
      <c r="R550" s="29"/>
      <c r="S550" s="29"/>
      <c r="T550" s="29"/>
      <c r="U550" s="29"/>
      <c r="V550" s="29"/>
      <c r="W550" s="29">
        <f t="shared" si="90"/>
        <v>-1.4551915228366852E-11</v>
      </c>
      <c r="X550" s="29">
        <f>39100+240000</f>
        <v>279100</v>
      </c>
      <c r="Y550" s="29">
        <f t="shared" si="86"/>
        <v>158052.61</v>
      </c>
    </row>
    <row r="551" spans="1:25" ht="75">
      <c r="A551" s="290"/>
      <c r="B551" s="290"/>
      <c r="C551" s="290"/>
      <c r="D551" s="279"/>
      <c r="E551" s="28" t="s">
        <v>288</v>
      </c>
      <c r="F551" s="105">
        <f t="shared" si="89"/>
        <v>173035.06</v>
      </c>
      <c r="G551" s="114">
        <v>1</v>
      </c>
      <c r="H551" s="105">
        <f t="shared" si="82"/>
        <v>173035.06</v>
      </c>
      <c r="I551" s="223">
        <v>3122</v>
      </c>
      <c r="J551" s="47">
        <f>390000-216964.94</f>
        <v>173035.06</v>
      </c>
      <c r="K551" s="29"/>
      <c r="L551" s="29"/>
      <c r="M551" s="29">
        <v>39000</v>
      </c>
      <c r="N551" s="29">
        <v>273000</v>
      </c>
      <c r="O551" s="29"/>
      <c r="P551" s="29"/>
      <c r="Q551" s="29">
        <f>78000-216964.94</f>
        <v>-138964.94</v>
      </c>
      <c r="R551" s="29"/>
      <c r="S551" s="29"/>
      <c r="T551" s="29"/>
      <c r="U551" s="29"/>
      <c r="V551" s="29"/>
      <c r="W551" s="29">
        <f t="shared" si="90"/>
        <v>0</v>
      </c>
      <c r="X551" s="29">
        <f>15800+131000</f>
        <v>146800</v>
      </c>
      <c r="Y551" s="29">
        <f t="shared" si="86"/>
        <v>26235.059999999998</v>
      </c>
    </row>
    <row r="552" spans="1:25" ht="75">
      <c r="A552" s="290"/>
      <c r="B552" s="290"/>
      <c r="C552" s="290"/>
      <c r="D552" s="279"/>
      <c r="E552" s="28" t="s">
        <v>441</v>
      </c>
      <c r="F552" s="105">
        <f t="shared" si="89"/>
        <v>226484.7</v>
      </c>
      <c r="G552" s="114">
        <v>1</v>
      </c>
      <c r="H552" s="105">
        <f t="shared" si="82"/>
        <v>226484.7</v>
      </c>
      <c r="I552" s="223">
        <v>3122</v>
      </c>
      <c r="J552" s="47">
        <f>380000-153515.3</f>
        <v>226484.7</v>
      </c>
      <c r="K552" s="29"/>
      <c r="L552" s="29"/>
      <c r="M552" s="29">
        <v>38000</v>
      </c>
      <c r="N552" s="29">
        <v>266000</v>
      </c>
      <c r="O552" s="29"/>
      <c r="P552" s="29"/>
      <c r="Q552" s="29">
        <f>76000-153515.3</f>
        <v>-77515.29999999999</v>
      </c>
      <c r="R552" s="29"/>
      <c r="S552" s="29"/>
      <c r="T552" s="29"/>
      <c r="U552" s="29"/>
      <c r="V552" s="29"/>
      <c r="W552" s="29">
        <f t="shared" si="90"/>
        <v>0</v>
      </c>
      <c r="X552" s="29">
        <f>17100+176000</f>
        <v>193100</v>
      </c>
      <c r="Y552" s="29">
        <f t="shared" si="86"/>
        <v>33384.70000000001</v>
      </c>
    </row>
    <row r="553" spans="1:25" ht="93.75">
      <c r="A553" s="290"/>
      <c r="B553" s="290"/>
      <c r="C553" s="290"/>
      <c r="D553" s="279"/>
      <c r="E553" s="28" t="s">
        <v>593</v>
      </c>
      <c r="F553" s="105">
        <f t="shared" si="89"/>
        <v>174255.87</v>
      </c>
      <c r="G553" s="114">
        <v>1</v>
      </c>
      <c r="H553" s="105">
        <f t="shared" si="82"/>
        <v>174255.87</v>
      </c>
      <c r="I553" s="223">
        <v>3122</v>
      </c>
      <c r="J553" s="47">
        <f>180000-5744.13</f>
        <v>174255.87</v>
      </c>
      <c r="K553" s="29"/>
      <c r="L553" s="29"/>
      <c r="M553" s="29">
        <v>18000</v>
      </c>
      <c r="N553" s="29">
        <v>126000</v>
      </c>
      <c r="O553" s="29"/>
      <c r="P553" s="29"/>
      <c r="Q553" s="29">
        <f>36000-5744.13</f>
        <v>30255.87</v>
      </c>
      <c r="R553" s="29"/>
      <c r="S553" s="29"/>
      <c r="T553" s="29"/>
      <c r="U553" s="29"/>
      <c r="V553" s="29"/>
      <c r="W553" s="29">
        <f t="shared" si="90"/>
        <v>-3.637978807091713E-12</v>
      </c>
      <c r="X553" s="29">
        <f>9500+3500+4200+133000</f>
        <v>150200</v>
      </c>
      <c r="Y553" s="29">
        <f t="shared" si="86"/>
        <v>24055.869999999995</v>
      </c>
    </row>
    <row r="554" spans="1:25" ht="75">
      <c r="A554" s="290"/>
      <c r="B554" s="290"/>
      <c r="C554" s="290"/>
      <c r="D554" s="279"/>
      <c r="E554" s="28" t="s">
        <v>899</v>
      </c>
      <c r="F554" s="105">
        <f t="shared" si="89"/>
        <v>362968.99</v>
      </c>
      <c r="G554" s="114">
        <v>1</v>
      </c>
      <c r="H554" s="105">
        <f t="shared" si="82"/>
        <v>362968.99</v>
      </c>
      <c r="I554" s="223">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90"/>
        <v>-1.4551915228366852E-11</v>
      </c>
      <c r="X554" s="29">
        <f>27000+8000+8100+55000</f>
        <v>98100</v>
      </c>
      <c r="Y554" s="29">
        <f t="shared" si="86"/>
        <v>177512.57</v>
      </c>
    </row>
    <row r="555" spans="1:25" ht="75">
      <c r="A555" s="290"/>
      <c r="B555" s="290"/>
      <c r="C555" s="290"/>
      <c r="D555" s="279"/>
      <c r="E555" s="28" t="s">
        <v>900</v>
      </c>
      <c r="F555" s="105">
        <f t="shared" si="89"/>
        <v>46400</v>
      </c>
      <c r="G555" s="114">
        <v>1</v>
      </c>
      <c r="H555" s="105">
        <f t="shared" si="82"/>
        <v>46400</v>
      </c>
      <c r="I555" s="223">
        <v>3122</v>
      </c>
      <c r="J555" s="47">
        <v>46400</v>
      </c>
      <c r="K555" s="29"/>
      <c r="L555" s="29"/>
      <c r="M555" s="29">
        <v>4640</v>
      </c>
      <c r="N555" s="29">
        <v>32480</v>
      </c>
      <c r="O555" s="29"/>
      <c r="P555" s="29"/>
      <c r="Q555" s="29">
        <v>9280</v>
      </c>
      <c r="R555" s="29"/>
      <c r="S555" s="29"/>
      <c r="T555" s="29"/>
      <c r="U555" s="29"/>
      <c r="V555" s="29"/>
      <c r="W555" s="29">
        <f t="shared" si="90"/>
        <v>0</v>
      </c>
      <c r="X555" s="29">
        <f>9500+6300</f>
        <v>15800</v>
      </c>
      <c r="Y555" s="29">
        <f t="shared" si="86"/>
        <v>30600</v>
      </c>
    </row>
    <row r="556" spans="1:25" ht="54" hidden="1">
      <c r="A556" s="290"/>
      <c r="B556" s="290"/>
      <c r="C556" s="290"/>
      <c r="D556" s="279"/>
      <c r="E556" s="28" t="s">
        <v>901</v>
      </c>
      <c r="F556" s="105">
        <f t="shared" si="89"/>
        <v>0</v>
      </c>
      <c r="G556" s="114">
        <v>1</v>
      </c>
      <c r="H556" s="105">
        <f t="shared" si="82"/>
        <v>0</v>
      </c>
      <c r="I556" s="223">
        <v>3122</v>
      </c>
      <c r="J556" s="47">
        <f>46400-46400</f>
        <v>0</v>
      </c>
      <c r="K556" s="29"/>
      <c r="L556" s="29"/>
      <c r="M556" s="29">
        <f>4640-4640</f>
        <v>0</v>
      </c>
      <c r="N556" s="29">
        <f>32480-32480</f>
        <v>0</v>
      </c>
      <c r="O556" s="29"/>
      <c r="P556" s="29"/>
      <c r="Q556" s="29">
        <f>9280-9280</f>
        <v>0</v>
      </c>
      <c r="R556" s="29"/>
      <c r="S556" s="29"/>
      <c r="T556" s="29"/>
      <c r="U556" s="29"/>
      <c r="V556" s="29"/>
      <c r="W556" s="29">
        <f t="shared" si="90"/>
        <v>0</v>
      </c>
      <c r="X556" s="29"/>
      <c r="Y556" s="29">
        <f t="shared" si="86"/>
        <v>0</v>
      </c>
    </row>
    <row r="557" spans="1:25" ht="54" hidden="1">
      <c r="A557" s="290"/>
      <c r="B557" s="290"/>
      <c r="C557" s="290"/>
      <c r="D557" s="279"/>
      <c r="E557" s="28" t="s">
        <v>902</v>
      </c>
      <c r="F557" s="105">
        <f t="shared" si="89"/>
        <v>0</v>
      </c>
      <c r="G557" s="114">
        <v>1</v>
      </c>
      <c r="H557" s="105">
        <f t="shared" si="82"/>
        <v>0</v>
      </c>
      <c r="I557" s="223">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290"/>
      <c r="B558" s="290"/>
      <c r="C558" s="290"/>
      <c r="D558" s="279"/>
      <c r="E558" s="28" t="s">
        <v>903</v>
      </c>
      <c r="F558" s="105">
        <f t="shared" si="89"/>
        <v>128644</v>
      </c>
      <c r="G558" s="114">
        <v>1</v>
      </c>
      <c r="H558" s="105">
        <f aca="true" t="shared" si="92" ref="H558:H594">J558</f>
        <v>128644</v>
      </c>
      <c r="I558" s="223">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90"/>
        <v>0</v>
      </c>
      <c r="X558" s="29">
        <f>7500+5200+97000</f>
        <v>109700</v>
      </c>
      <c r="Y558" s="29">
        <f t="shared" si="86"/>
        <v>18944</v>
      </c>
    </row>
    <row r="559" spans="1:25" ht="54" hidden="1">
      <c r="A559" s="290"/>
      <c r="B559" s="290"/>
      <c r="C559" s="290"/>
      <c r="D559" s="279"/>
      <c r="E559" s="28" t="s">
        <v>904</v>
      </c>
      <c r="F559" s="105">
        <f t="shared" si="89"/>
        <v>0</v>
      </c>
      <c r="G559" s="114">
        <v>1</v>
      </c>
      <c r="H559" s="105">
        <f t="shared" si="92"/>
        <v>0</v>
      </c>
      <c r="I559" s="223">
        <v>3122</v>
      </c>
      <c r="J559" s="47">
        <f>46400-46400</f>
        <v>0</v>
      </c>
      <c r="K559" s="29"/>
      <c r="L559" s="29"/>
      <c r="M559" s="29">
        <f>4640-4640</f>
        <v>0</v>
      </c>
      <c r="N559" s="29">
        <f>32480-32480</f>
        <v>0</v>
      </c>
      <c r="O559" s="29"/>
      <c r="P559" s="29"/>
      <c r="Q559" s="29">
        <f>9280-9280</f>
        <v>0</v>
      </c>
      <c r="R559" s="29"/>
      <c r="S559" s="29"/>
      <c r="T559" s="29"/>
      <c r="U559" s="29"/>
      <c r="V559" s="29"/>
      <c r="W559" s="29">
        <f t="shared" si="90"/>
        <v>0</v>
      </c>
      <c r="X559" s="29"/>
      <c r="Y559" s="29">
        <f t="shared" si="86"/>
        <v>0</v>
      </c>
    </row>
    <row r="560" spans="1:25" ht="75">
      <c r="A560" s="290"/>
      <c r="B560" s="290"/>
      <c r="C560" s="290"/>
      <c r="D560" s="279"/>
      <c r="E560" s="28" t="s">
        <v>952</v>
      </c>
      <c r="F560" s="105">
        <f t="shared" si="89"/>
        <v>130456.25</v>
      </c>
      <c r="G560" s="114">
        <v>1</v>
      </c>
      <c r="H560" s="105">
        <f t="shared" si="92"/>
        <v>130456.25</v>
      </c>
      <c r="I560" s="223">
        <v>3122</v>
      </c>
      <c r="J560" s="47">
        <f>92800+37656.25</f>
        <v>130456.25</v>
      </c>
      <c r="K560" s="29"/>
      <c r="L560" s="29"/>
      <c r="M560" s="29">
        <v>9280</v>
      </c>
      <c r="N560" s="29">
        <v>64960</v>
      </c>
      <c r="O560" s="29"/>
      <c r="P560" s="29"/>
      <c r="Q560" s="29">
        <f>18560+37656.25</f>
        <v>56216.25</v>
      </c>
      <c r="R560" s="29"/>
      <c r="S560" s="29"/>
      <c r="T560" s="29"/>
      <c r="U560" s="29"/>
      <c r="V560" s="29"/>
      <c r="W560" s="29">
        <f t="shared" si="90"/>
        <v>0</v>
      </c>
      <c r="X560" s="29">
        <f>8000+3000+53000</f>
        <v>64000</v>
      </c>
      <c r="Y560" s="29">
        <f t="shared" si="86"/>
        <v>66456.25</v>
      </c>
    </row>
    <row r="561" spans="1:25" ht="75">
      <c r="A561" s="290"/>
      <c r="B561" s="290"/>
      <c r="C561" s="290"/>
      <c r="D561" s="279"/>
      <c r="E561" s="28" t="s">
        <v>879</v>
      </c>
      <c r="F561" s="105">
        <f t="shared" si="89"/>
        <v>195292.31</v>
      </c>
      <c r="G561" s="114">
        <v>1</v>
      </c>
      <c r="H561" s="105">
        <f t="shared" si="92"/>
        <v>195292.31</v>
      </c>
      <c r="I561" s="223">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90"/>
        <v>0</v>
      </c>
      <c r="X561" s="29">
        <f>21000+10400+40000</f>
        <v>71400</v>
      </c>
      <c r="Y561" s="29">
        <f t="shared" si="86"/>
        <v>123892.31</v>
      </c>
    </row>
    <row r="562" spans="1:25" ht="75">
      <c r="A562" s="290"/>
      <c r="B562" s="290"/>
      <c r="C562" s="290"/>
      <c r="D562" s="279"/>
      <c r="E562" s="28" t="s">
        <v>285</v>
      </c>
      <c r="F562" s="105">
        <f t="shared" si="89"/>
        <v>105043.61</v>
      </c>
      <c r="G562" s="114">
        <v>1</v>
      </c>
      <c r="H562" s="105">
        <f t="shared" si="92"/>
        <v>105043.61</v>
      </c>
      <c r="I562" s="223">
        <v>3122</v>
      </c>
      <c r="J562" s="47">
        <f>92800+12243.61</f>
        <v>105043.61</v>
      </c>
      <c r="K562" s="29"/>
      <c r="L562" s="29"/>
      <c r="M562" s="29">
        <v>9280</v>
      </c>
      <c r="N562" s="29">
        <v>64960</v>
      </c>
      <c r="O562" s="29"/>
      <c r="P562" s="29"/>
      <c r="Q562" s="29">
        <f>18560+12243.61</f>
        <v>30803.61</v>
      </c>
      <c r="R562" s="29"/>
      <c r="S562" s="29"/>
      <c r="T562" s="29"/>
      <c r="U562" s="29"/>
      <c r="V562" s="29"/>
      <c r="W562" s="29">
        <f t="shared" si="90"/>
        <v>0</v>
      </c>
      <c r="X562" s="29">
        <f>8500+5400+53000</f>
        <v>66900</v>
      </c>
      <c r="Y562" s="29">
        <f t="shared" si="86"/>
        <v>38143.61</v>
      </c>
    </row>
    <row r="563" spans="1:25" ht="75">
      <c r="A563" s="290"/>
      <c r="B563" s="290"/>
      <c r="C563" s="290"/>
      <c r="D563" s="279"/>
      <c r="E563" s="28" t="s">
        <v>393</v>
      </c>
      <c r="F563" s="105">
        <f t="shared" si="89"/>
        <v>82931.34</v>
      </c>
      <c r="G563" s="114">
        <v>1</v>
      </c>
      <c r="H563" s="105">
        <f t="shared" si="92"/>
        <v>82931.34</v>
      </c>
      <c r="I563" s="223">
        <v>3122</v>
      </c>
      <c r="J563" s="47">
        <f>92800-9868.66</f>
        <v>82931.34</v>
      </c>
      <c r="K563" s="29"/>
      <c r="L563" s="29"/>
      <c r="M563" s="29">
        <v>9280</v>
      </c>
      <c r="N563" s="29">
        <v>64960</v>
      </c>
      <c r="O563" s="29"/>
      <c r="P563" s="29"/>
      <c r="Q563" s="29">
        <f>18560-9868.66</f>
        <v>8691.34</v>
      </c>
      <c r="R563" s="29"/>
      <c r="S563" s="29"/>
      <c r="T563" s="29"/>
      <c r="U563" s="29"/>
      <c r="V563" s="29"/>
      <c r="W563" s="29">
        <f t="shared" si="90"/>
        <v>-3.637978807091713E-12</v>
      </c>
      <c r="X563" s="29">
        <f>7500+5100+57000</f>
        <v>69600</v>
      </c>
      <c r="Y563" s="29">
        <f t="shared" si="86"/>
        <v>13331.339999999997</v>
      </c>
    </row>
    <row r="564" spans="1:25" ht="54" hidden="1">
      <c r="A564" s="290"/>
      <c r="B564" s="290"/>
      <c r="C564" s="290"/>
      <c r="D564" s="279"/>
      <c r="E564" s="28" t="s">
        <v>257</v>
      </c>
      <c r="F564" s="105">
        <f t="shared" si="89"/>
        <v>0</v>
      </c>
      <c r="G564" s="114">
        <v>1</v>
      </c>
      <c r="H564" s="105">
        <f t="shared" si="92"/>
        <v>0</v>
      </c>
      <c r="I564" s="223">
        <v>3122</v>
      </c>
      <c r="J564" s="47">
        <f>232000-232000</f>
        <v>0</v>
      </c>
      <c r="K564" s="29"/>
      <c r="L564" s="29"/>
      <c r="M564" s="29">
        <f>23200-23200</f>
        <v>0</v>
      </c>
      <c r="N564" s="29">
        <f>162400-162400</f>
        <v>0</v>
      </c>
      <c r="O564" s="29"/>
      <c r="P564" s="29"/>
      <c r="Q564" s="29">
        <f>46400-46400</f>
        <v>0</v>
      </c>
      <c r="R564" s="29"/>
      <c r="S564" s="29"/>
      <c r="T564" s="29"/>
      <c r="U564" s="29"/>
      <c r="V564" s="29"/>
      <c r="W564" s="29">
        <f t="shared" si="90"/>
        <v>0</v>
      </c>
      <c r="X564" s="29"/>
      <c r="Y564" s="29">
        <f t="shared" si="86"/>
        <v>0</v>
      </c>
    </row>
    <row r="565" spans="1:25" ht="75">
      <c r="A565" s="290"/>
      <c r="B565" s="290"/>
      <c r="C565" s="290"/>
      <c r="D565" s="279"/>
      <c r="E565" s="28" t="s">
        <v>1045</v>
      </c>
      <c r="F565" s="105">
        <f t="shared" si="89"/>
        <v>107191.08</v>
      </c>
      <c r="G565" s="114"/>
      <c r="H565" s="105">
        <f t="shared" si="92"/>
        <v>107191.08</v>
      </c>
      <c r="I565" s="223">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86"/>
        <v>27191.08</v>
      </c>
    </row>
    <row r="566" spans="1:25" ht="75">
      <c r="A566" s="290"/>
      <c r="B566" s="290"/>
      <c r="C566" s="290"/>
      <c r="D566" s="279"/>
      <c r="E566" s="28" t="s">
        <v>1046</v>
      </c>
      <c r="F566" s="105">
        <f t="shared" si="89"/>
        <v>111523.97</v>
      </c>
      <c r="G566" s="114"/>
      <c r="H566" s="105">
        <f t="shared" si="92"/>
        <v>111523.97</v>
      </c>
      <c r="I566" s="223">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86"/>
        <v>39923.97</v>
      </c>
    </row>
    <row r="567" spans="1:25" ht="81" customHeight="1">
      <c r="A567" s="290"/>
      <c r="B567" s="290"/>
      <c r="C567" s="290"/>
      <c r="D567" s="279"/>
      <c r="E567" s="28" t="s">
        <v>258</v>
      </c>
      <c r="F567" s="105">
        <f t="shared" si="89"/>
        <v>59000</v>
      </c>
      <c r="G567" s="114">
        <v>1</v>
      </c>
      <c r="H567" s="105">
        <f t="shared" si="92"/>
        <v>59000</v>
      </c>
      <c r="I567" s="223">
        <v>3122</v>
      </c>
      <c r="J567" s="47">
        <v>59000</v>
      </c>
      <c r="K567" s="29"/>
      <c r="L567" s="29"/>
      <c r="M567" s="29">
        <f>5900+2500</f>
        <v>8400</v>
      </c>
      <c r="N567" s="29">
        <v>41300</v>
      </c>
      <c r="O567" s="29"/>
      <c r="P567" s="29"/>
      <c r="Q567" s="29">
        <f>11800-2500</f>
        <v>9300</v>
      </c>
      <c r="R567" s="29"/>
      <c r="S567" s="29"/>
      <c r="T567" s="29"/>
      <c r="U567" s="29"/>
      <c r="V567" s="29"/>
      <c r="W567" s="29">
        <f t="shared" si="90"/>
        <v>0</v>
      </c>
      <c r="X567" s="29">
        <v>8400</v>
      </c>
      <c r="Y567" s="29">
        <f t="shared" si="86"/>
        <v>50600</v>
      </c>
    </row>
    <row r="568" spans="1:25" ht="54" hidden="1">
      <c r="A568" s="290"/>
      <c r="B568" s="290"/>
      <c r="C568" s="290"/>
      <c r="D568" s="279"/>
      <c r="E568" s="28" t="s">
        <v>975</v>
      </c>
      <c r="F568" s="105">
        <f t="shared" si="89"/>
        <v>0</v>
      </c>
      <c r="G568" s="114">
        <v>1</v>
      </c>
      <c r="H568" s="105">
        <f t="shared" si="92"/>
        <v>0</v>
      </c>
      <c r="I568" s="223">
        <v>3122</v>
      </c>
      <c r="J568" s="47">
        <f>59000-59000</f>
        <v>0</v>
      </c>
      <c r="K568" s="29"/>
      <c r="L568" s="29"/>
      <c r="M568" s="29">
        <v>5900</v>
      </c>
      <c r="N568" s="29">
        <v>41300</v>
      </c>
      <c r="O568" s="29"/>
      <c r="P568" s="29"/>
      <c r="Q568" s="29">
        <f>11800-59000</f>
        <v>-47200</v>
      </c>
      <c r="R568" s="29"/>
      <c r="S568" s="29"/>
      <c r="T568" s="29"/>
      <c r="U568" s="29"/>
      <c r="V568" s="29"/>
      <c r="W568" s="29">
        <f t="shared" si="90"/>
        <v>0</v>
      </c>
      <c r="X568" s="29"/>
      <c r="Y568" s="29">
        <f t="shared" si="86"/>
        <v>0</v>
      </c>
    </row>
    <row r="569" spans="1:25" ht="102" customHeight="1" hidden="1">
      <c r="A569" s="290"/>
      <c r="B569" s="290"/>
      <c r="C569" s="290"/>
      <c r="D569" s="279"/>
      <c r="E569" s="28" t="s">
        <v>976</v>
      </c>
      <c r="F569" s="105">
        <f t="shared" si="89"/>
        <v>0</v>
      </c>
      <c r="G569" s="114">
        <v>1</v>
      </c>
      <c r="H569" s="105">
        <f t="shared" si="92"/>
        <v>0</v>
      </c>
      <c r="I569" s="223">
        <v>3122</v>
      </c>
      <c r="J569" s="47">
        <f>150000-150000</f>
        <v>0</v>
      </c>
      <c r="K569" s="29"/>
      <c r="L569" s="29"/>
      <c r="M569" s="29">
        <f>15000-15000</f>
        <v>0</v>
      </c>
      <c r="N569" s="29">
        <f>105000-105000</f>
        <v>0</v>
      </c>
      <c r="O569" s="29"/>
      <c r="P569" s="29"/>
      <c r="Q569" s="29">
        <f>30000-30000</f>
        <v>0</v>
      </c>
      <c r="R569" s="29"/>
      <c r="S569" s="29"/>
      <c r="T569" s="29"/>
      <c r="U569" s="29"/>
      <c r="V569" s="29"/>
      <c r="W569" s="29">
        <f t="shared" si="90"/>
        <v>0</v>
      </c>
      <c r="X569" s="29"/>
      <c r="Y569" s="29">
        <f t="shared" si="86"/>
        <v>0</v>
      </c>
    </row>
    <row r="570" spans="1:25" ht="37.5">
      <c r="A570" s="290"/>
      <c r="B570" s="290"/>
      <c r="C570" s="290"/>
      <c r="D570" s="279"/>
      <c r="E570" s="28" t="s">
        <v>495</v>
      </c>
      <c r="F570" s="105">
        <f t="shared" si="89"/>
        <v>100000</v>
      </c>
      <c r="G570" s="114">
        <v>1</v>
      </c>
      <c r="H570" s="105">
        <f t="shared" si="92"/>
        <v>100000</v>
      </c>
      <c r="I570" s="223">
        <v>3122</v>
      </c>
      <c r="J570" s="47">
        <v>100000</v>
      </c>
      <c r="K570" s="29"/>
      <c r="L570" s="29"/>
      <c r="M570" s="29">
        <v>10000</v>
      </c>
      <c r="N570" s="29">
        <v>70000</v>
      </c>
      <c r="O570" s="29"/>
      <c r="P570" s="29"/>
      <c r="Q570" s="29">
        <v>20000</v>
      </c>
      <c r="R570" s="29"/>
      <c r="S570" s="29"/>
      <c r="T570" s="29"/>
      <c r="U570" s="29"/>
      <c r="V570" s="29"/>
      <c r="W570" s="29">
        <f t="shared" si="90"/>
        <v>0</v>
      </c>
      <c r="X570" s="29">
        <f>8000+2500</f>
        <v>10500</v>
      </c>
      <c r="Y570" s="29">
        <f t="shared" si="86"/>
        <v>89500</v>
      </c>
    </row>
    <row r="571" spans="1:25" ht="37.5">
      <c r="A571" s="290"/>
      <c r="B571" s="290"/>
      <c r="C571" s="290"/>
      <c r="D571" s="279"/>
      <c r="E571" s="28" t="s">
        <v>496</v>
      </c>
      <c r="F571" s="105">
        <f t="shared" si="89"/>
        <v>100000</v>
      </c>
      <c r="G571" s="114">
        <v>1</v>
      </c>
      <c r="H571" s="105">
        <f t="shared" si="92"/>
        <v>100000</v>
      </c>
      <c r="I571" s="223">
        <v>3122</v>
      </c>
      <c r="J571" s="47">
        <v>100000</v>
      </c>
      <c r="K571" s="29"/>
      <c r="L571" s="29"/>
      <c r="M571" s="29">
        <v>10000</v>
      </c>
      <c r="N571" s="29">
        <v>70000</v>
      </c>
      <c r="O571" s="29"/>
      <c r="P571" s="29"/>
      <c r="Q571" s="29">
        <v>20000</v>
      </c>
      <c r="R571" s="29"/>
      <c r="S571" s="29"/>
      <c r="T571" s="29"/>
      <c r="U571" s="29"/>
      <c r="V571" s="29"/>
      <c r="W571" s="29">
        <f t="shared" si="90"/>
        <v>0</v>
      </c>
      <c r="X571" s="29">
        <v>8000</v>
      </c>
      <c r="Y571" s="29">
        <f t="shared" si="86"/>
        <v>92000</v>
      </c>
    </row>
    <row r="572" spans="1:25" ht="75">
      <c r="A572" s="290"/>
      <c r="B572" s="290"/>
      <c r="C572" s="290"/>
      <c r="D572" s="279"/>
      <c r="E572" s="28" t="s">
        <v>1134</v>
      </c>
      <c r="F572" s="105">
        <f t="shared" si="89"/>
        <v>297518.98</v>
      </c>
      <c r="G572" s="114">
        <v>1</v>
      </c>
      <c r="H572" s="105">
        <f t="shared" si="92"/>
        <v>297518.98</v>
      </c>
      <c r="I572" s="223">
        <v>3122</v>
      </c>
      <c r="J572" s="47">
        <f>232000+65518.98</f>
        <v>297518.98</v>
      </c>
      <c r="K572" s="29"/>
      <c r="L572" s="29"/>
      <c r="M572" s="29">
        <v>23200</v>
      </c>
      <c r="N572" s="29">
        <v>162400</v>
      </c>
      <c r="O572" s="29"/>
      <c r="P572" s="29"/>
      <c r="Q572" s="29">
        <f>46400+65518.98</f>
        <v>111918.98000000001</v>
      </c>
      <c r="R572" s="29"/>
      <c r="S572" s="29"/>
      <c r="T572" s="29"/>
      <c r="U572" s="29"/>
      <c r="V572" s="29"/>
      <c r="W572" s="29">
        <f t="shared" si="90"/>
        <v>-2.9103830456733704E-11</v>
      </c>
      <c r="X572" s="29">
        <f>13000+10500+141960</f>
        <v>165460</v>
      </c>
      <c r="Y572" s="29">
        <f t="shared" si="86"/>
        <v>132058.97999999998</v>
      </c>
    </row>
    <row r="573" spans="1:25" ht="93.75">
      <c r="A573" s="290"/>
      <c r="B573" s="290"/>
      <c r="C573" s="290"/>
      <c r="D573" s="279"/>
      <c r="E573" s="28" t="s">
        <v>993</v>
      </c>
      <c r="F573" s="105">
        <f t="shared" si="89"/>
        <v>113777.69</v>
      </c>
      <c r="G573" s="114"/>
      <c r="H573" s="105">
        <f t="shared" si="92"/>
        <v>113777.69</v>
      </c>
      <c r="I573" s="223">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86"/>
        <v>500</v>
      </c>
    </row>
    <row r="574" spans="1:25" ht="75">
      <c r="A574" s="290"/>
      <c r="B574" s="290"/>
      <c r="C574" s="290"/>
      <c r="D574" s="279"/>
      <c r="E574" s="28" t="s">
        <v>994</v>
      </c>
      <c r="F574" s="105">
        <f t="shared" si="89"/>
        <v>224627.44</v>
      </c>
      <c r="G574" s="114"/>
      <c r="H574" s="105">
        <f t="shared" si="92"/>
        <v>224627.44</v>
      </c>
      <c r="I574" s="223">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86"/>
        <v>70427.44</v>
      </c>
    </row>
    <row r="575" spans="1:25" ht="93.75">
      <c r="A575" s="290"/>
      <c r="B575" s="290"/>
      <c r="C575" s="290"/>
      <c r="D575" s="279"/>
      <c r="E575" s="28" t="s">
        <v>571</v>
      </c>
      <c r="F575" s="105">
        <f t="shared" si="89"/>
        <v>696000</v>
      </c>
      <c r="G575" s="114">
        <v>1</v>
      </c>
      <c r="H575" s="105">
        <f t="shared" si="92"/>
        <v>696000</v>
      </c>
      <c r="I575" s="223">
        <v>3122</v>
      </c>
      <c r="J575" s="47">
        <v>696000</v>
      </c>
      <c r="K575" s="29"/>
      <c r="L575" s="29"/>
      <c r="M575" s="29">
        <v>69600</v>
      </c>
      <c r="N575" s="29">
        <v>487200</v>
      </c>
      <c r="O575" s="29"/>
      <c r="P575" s="29">
        <v>-400000</v>
      </c>
      <c r="Q575" s="29">
        <f>139200+400000</f>
        <v>539200</v>
      </c>
      <c r="R575" s="29"/>
      <c r="S575" s="29"/>
      <c r="T575" s="29"/>
      <c r="U575" s="29"/>
      <c r="V575" s="29"/>
      <c r="W575" s="29">
        <f t="shared" si="90"/>
        <v>0</v>
      </c>
      <c r="X575" s="29"/>
      <c r="Y575" s="29">
        <f t="shared" si="86"/>
        <v>696000</v>
      </c>
    </row>
    <row r="576" spans="1:25" ht="93.75">
      <c r="A576" s="290"/>
      <c r="B576" s="290"/>
      <c r="C576" s="290"/>
      <c r="D576" s="279"/>
      <c r="E576" s="28" t="s">
        <v>189</v>
      </c>
      <c r="F576" s="105">
        <f t="shared" si="89"/>
        <v>175035.9</v>
      </c>
      <c r="G576" s="114">
        <v>1</v>
      </c>
      <c r="H576" s="105">
        <f t="shared" si="92"/>
        <v>175035.9</v>
      </c>
      <c r="I576" s="223">
        <v>3122</v>
      </c>
      <c r="J576" s="47">
        <f>232000-56964.1</f>
        <v>175035.9</v>
      </c>
      <c r="K576" s="29"/>
      <c r="L576" s="29"/>
      <c r="M576" s="29">
        <v>23200</v>
      </c>
      <c r="N576" s="29">
        <v>162400</v>
      </c>
      <c r="O576" s="29"/>
      <c r="P576" s="29"/>
      <c r="Q576" s="29">
        <f>46400-56964.1</f>
        <v>-10564.099999999999</v>
      </c>
      <c r="R576" s="29"/>
      <c r="S576" s="29"/>
      <c r="T576" s="29"/>
      <c r="U576" s="29"/>
      <c r="V576" s="29"/>
      <c r="W576" s="29">
        <f t="shared" si="90"/>
        <v>-7.275957614183426E-12</v>
      </c>
      <c r="X576" s="29">
        <f>10500+2500+5800+124000</f>
        <v>142800</v>
      </c>
      <c r="Y576" s="29">
        <f t="shared" si="86"/>
        <v>32235.899999999994</v>
      </c>
    </row>
    <row r="577" spans="1:25" ht="75">
      <c r="A577" s="290"/>
      <c r="B577" s="290"/>
      <c r="C577" s="290"/>
      <c r="D577" s="279"/>
      <c r="E577" s="28" t="s">
        <v>575</v>
      </c>
      <c r="F577" s="105">
        <f t="shared" si="89"/>
        <v>116000</v>
      </c>
      <c r="G577" s="114">
        <v>1</v>
      </c>
      <c r="H577" s="105">
        <f t="shared" si="92"/>
        <v>116000</v>
      </c>
      <c r="I577" s="223">
        <v>3122</v>
      </c>
      <c r="J577" s="47">
        <v>116000</v>
      </c>
      <c r="K577" s="29"/>
      <c r="L577" s="29"/>
      <c r="M577" s="29">
        <v>11600</v>
      </c>
      <c r="N577" s="29">
        <v>81200</v>
      </c>
      <c r="O577" s="29"/>
      <c r="P577" s="29"/>
      <c r="Q577" s="29">
        <v>23200</v>
      </c>
      <c r="R577" s="29"/>
      <c r="S577" s="29"/>
      <c r="T577" s="29"/>
      <c r="U577" s="29"/>
      <c r="V577" s="29"/>
      <c r="W577" s="29">
        <f t="shared" si="90"/>
        <v>0</v>
      </c>
      <c r="X577" s="29">
        <f>11376.86</f>
        <v>11376.86</v>
      </c>
      <c r="Y577" s="29">
        <f t="shared" si="86"/>
        <v>104623.14</v>
      </c>
    </row>
    <row r="578" spans="1:25" ht="75">
      <c r="A578" s="290"/>
      <c r="B578" s="290"/>
      <c r="C578" s="290"/>
      <c r="D578" s="279"/>
      <c r="E578" s="28" t="s">
        <v>576</v>
      </c>
      <c r="F578" s="105">
        <f t="shared" si="89"/>
        <v>120326.25</v>
      </c>
      <c r="G578" s="114">
        <v>1</v>
      </c>
      <c r="H578" s="105">
        <f t="shared" si="92"/>
        <v>120326.25</v>
      </c>
      <c r="I578" s="223">
        <v>3122</v>
      </c>
      <c r="J578" s="47">
        <f>116000+4326.25</f>
        <v>120326.25</v>
      </c>
      <c r="K578" s="29"/>
      <c r="L578" s="29"/>
      <c r="M578" s="29">
        <v>11600</v>
      </c>
      <c r="N578" s="29">
        <v>81200</v>
      </c>
      <c r="O578" s="29"/>
      <c r="P578" s="29"/>
      <c r="Q578" s="29">
        <f>23200+4326.25</f>
        <v>27526.25</v>
      </c>
      <c r="R578" s="29"/>
      <c r="S578" s="29"/>
      <c r="T578" s="29"/>
      <c r="U578" s="29"/>
      <c r="V578" s="29"/>
      <c r="W578" s="29">
        <f t="shared" si="90"/>
        <v>0</v>
      </c>
      <c r="X578" s="29">
        <f>8000+2000+4500+88000</f>
        <v>102500</v>
      </c>
      <c r="Y578" s="29">
        <f t="shared" si="86"/>
        <v>17826.25</v>
      </c>
    </row>
    <row r="579" spans="1:25" ht="138" customHeight="1">
      <c r="A579" s="290"/>
      <c r="B579" s="290"/>
      <c r="C579" s="290"/>
      <c r="D579" s="279"/>
      <c r="E579" s="28" t="s">
        <v>719</v>
      </c>
      <c r="F579" s="105">
        <f t="shared" si="89"/>
        <v>1018426.57</v>
      </c>
      <c r="G579" s="114">
        <v>1</v>
      </c>
      <c r="H579" s="105">
        <f t="shared" si="92"/>
        <v>1018426.57</v>
      </c>
      <c r="I579" s="223">
        <v>3122</v>
      </c>
      <c r="J579" s="47">
        <f>1000000+18426.57</f>
        <v>1018426.57</v>
      </c>
      <c r="K579" s="29"/>
      <c r="L579" s="29"/>
      <c r="M579" s="29">
        <v>100000</v>
      </c>
      <c r="N579" s="29">
        <v>700000</v>
      </c>
      <c r="O579" s="29"/>
      <c r="P579" s="29"/>
      <c r="Q579" s="29">
        <f>200000+18426.57</f>
        <v>218426.57</v>
      </c>
      <c r="R579" s="29">
        <f>-270000</f>
        <v>-270000</v>
      </c>
      <c r="S579" s="29"/>
      <c r="T579" s="29">
        <f>270000</f>
        <v>270000</v>
      </c>
      <c r="U579" s="29"/>
      <c r="V579" s="29"/>
      <c r="W579" s="29">
        <f t="shared" si="90"/>
        <v>-5.820766091346741E-11</v>
      </c>
      <c r="X579" s="29">
        <f>28000+14000+699000</f>
        <v>741000</v>
      </c>
      <c r="Y579" s="29">
        <f t="shared" si="86"/>
        <v>7426.570000000065</v>
      </c>
    </row>
    <row r="580" spans="1:25" ht="77.25" customHeight="1">
      <c r="A580" s="290"/>
      <c r="B580" s="290"/>
      <c r="C580" s="290"/>
      <c r="D580" s="279"/>
      <c r="E580" s="28" t="s">
        <v>323</v>
      </c>
      <c r="F580" s="105">
        <f t="shared" si="89"/>
        <v>247162.65</v>
      </c>
      <c r="G580" s="114">
        <v>1</v>
      </c>
      <c r="H580" s="105">
        <f t="shared" si="92"/>
        <v>247162.65</v>
      </c>
      <c r="I580" s="223">
        <v>3122</v>
      </c>
      <c r="J580" s="47">
        <f>164000+83162.65</f>
        <v>247162.65</v>
      </c>
      <c r="K580" s="29"/>
      <c r="L580" s="29"/>
      <c r="M580" s="29">
        <v>16400</v>
      </c>
      <c r="N580" s="29">
        <v>114800</v>
      </c>
      <c r="O580" s="29"/>
      <c r="P580" s="29"/>
      <c r="Q580" s="29">
        <f>32800+83162.65</f>
        <v>115962.65</v>
      </c>
      <c r="R580" s="29"/>
      <c r="S580" s="29"/>
      <c r="T580" s="29"/>
      <c r="U580" s="29"/>
      <c r="V580" s="29"/>
      <c r="W580" s="29">
        <f t="shared" si="90"/>
        <v>0</v>
      </c>
      <c r="X580" s="29">
        <f>14000+10600+94000</f>
        <v>118600</v>
      </c>
      <c r="Y580" s="29">
        <f t="shared" si="86"/>
        <v>128562.65</v>
      </c>
    </row>
    <row r="581" spans="1:25" ht="81" customHeight="1">
      <c r="A581" s="290"/>
      <c r="B581" s="290"/>
      <c r="C581" s="290"/>
      <c r="D581" s="279"/>
      <c r="E581" s="28" t="s">
        <v>70</v>
      </c>
      <c r="F581" s="105">
        <f t="shared" si="89"/>
        <v>220856.75</v>
      </c>
      <c r="G581" s="114">
        <v>1</v>
      </c>
      <c r="H581" s="105">
        <f t="shared" si="92"/>
        <v>220856.75</v>
      </c>
      <c r="I581" s="223">
        <v>3122</v>
      </c>
      <c r="J581" s="47">
        <f>154000+66856.75</f>
        <v>220856.75</v>
      </c>
      <c r="K581" s="29"/>
      <c r="L581" s="29"/>
      <c r="M581" s="29">
        <v>15400</v>
      </c>
      <c r="N581" s="29">
        <v>107800</v>
      </c>
      <c r="O581" s="29"/>
      <c r="P581" s="29"/>
      <c r="Q581" s="29">
        <f>30800+66856.75</f>
        <v>97656.75</v>
      </c>
      <c r="R581" s="29"/>
      <c r="S581" s="29"/>
      <c r="T581" s="29"/>
      <c r="U581" s="29"/>
      <c r="V581" s="29"/>
      <c r="W581" s="29">
        <f t="shared" si="90"/>
        <v>0</v>
      </c>
      <c r="X581" s="29">
        <f>9900+7600+90000</f>
        <v>107500</v>
      </c>
      <c r="Y581" s="29">
        <f t="shared" si="86"/>
        <v>113356.75</v>
      </c>
    </row>
    <row r="582" spans="1:25" ht="75">
      <c r="A582" s="290"/>
      <c r="B582" s="290"/>
      <c r="C582" s="290"/>
      <c r="D582" s="279"/>
      <c r="E582" s="28" t="s">
        <v>394</v>
      </c>
      <c r="F582" s="105">
        <f t="shared" si="89"/>
        <v>275263.15</v>
      </c>
      <c r="G582" s="114">
        <v>1</v>
      </c>
      <c r="H582" s="105">
        <f t="shared" si="92"/>
        <v>275263.15</v>
      </c>
      <c r="I582" s="223">
        <v>3122</v>
      </c>
      <c r="J582" s="47">
        <f>168000+107263.15</f>
        <v>275263.15</v>
      </c>
      <c r="K582" s="29"/>
      <c r="L582" s="29"/>
      <c r="M582" s="29">
        <v>16800</v>
      </c>
      <c r="N582" s="29">
        <v>117600</v>
      </c>
      <c r="O582" s="29"/>
      <c r="P582" s="29"/>
      <c r="Q582" s="29">
        <f>33600+107263.15</f>
        <v>140863.15</v>
      </c>
      <c r="R582" s="29"/>
      <c r="S582" s="29"/>
      <c r="T582" s="29"/>
      <c r="U582" s="29"/>
      <c r="V582" s="29"/>
      <c r="W582" s="29">
        <f t="shared" si="90"/>
        <v>2.9103830456733704E-11</v>
      </c>
      <c r="X582" s="29">
        <f>7500+10200+100000</f>
        <v>117700</v>
      </c>
      <c r="Y582" s="29">
        <f aca="true" t="shared" si="93" ref="Y582:Y645">K582+L582+M582+N582+O582+P582+Q582+R582-X582</f>
        <v>157563.15000000002</v>
      </c>
    </row>
    <row r="583" spans="1:25" ht="75">
      <c r="A583" s="290"/>
      <c r="B583" s="290"/>
      <c r="C583" s="290"/>
      <c r="D583" s="279"/>
      <c r="E583" s="28" t="s">
        <v>71</v>
      </c>
      <c r="F583" s="105">
        <f t="shared" si="89"/>
        <v>168000</v>
      </c>
      <c r="G583" s="114">
        <v>1</v>
      </c>
      <c r="H583" s="105">
        <f t="shared" si="92"/>
        <v>168000</v>
      </c>
      <c r="I583" s="223">
        <v>3122</v>
      </c>
      <c r="J583" s="47">
        <v>168000</v>
      </c>
      <c r="K583" s="29"/>
      <c r="L583" s="29"/>
      <c r="M583" s="29">
        <v>16800</v>
      </c>
      <c r="N583" s="29">
        <v>117600</v>
      </c>
      <c r="O583" s="29"/>
      <c r="P583" s="29"/>
      <c r="Q583" s="29">
        <v>33600</v>
      </c>
      <c r="R583" s="29"/>
      <c r="S583" s="29"/>
      <c r="T583" s="29"/>
      <c r="U583" s="29"/>
      <c r="V583" s="29"/>
      <c r="W583" s="29">
        <f t="shared" si="90"/>
        <v>0</v>
      </c>
      <c r="X583" s="29"/>
      <c r="Y583" s="29">
        <f t="shared" si="93"/>
        <v>168000</v>
      </c>
    </row>
    <row r="584" spans="1:25" ht="75">
      <c r="A584" s="290"/>
      <c r="B584" s="290"/>
      <c r="C584" s="290"/>
      <c r="D584" s="279"/>
      <c r="E584" s="28" t="s">
        <v>395</v>
      </c>
      <c r="F584" s="105">
        <f t="shared" si="89"/>
        <v>147798.1</v>
      </c>
      <c r="G584" s="114">
        <v>1</v>
      </c>
      <c r="H584" s="105">
        <f t="shared" si="92"/>
        <v>147798.1</v>
      </c>
      <c r="I584" s="223">
        <v>3122</v>
      </c>
      <c r="J584" s="47">
        <f>168000-20201.9</f>
        <v>147798.1</v>
      </c>
      <c r="K584" s="29"/>
      <c r="L584" s="29"/>
      <c r="M584" s="29">
        <v>16800</v>
      </c>
      <c r="N584" s="29">
        <v>117600</v>
      </c>
      <c r="O584" s="29"/>
      <c r="P584" s="29"/>
      <c r="Q584" s="29">
        <f>33600-20201.9</f>
        <v>13398.099999999999</v>
      </c>
      <c r="R584" s="29"/>
      <c r="S584" s="29"/>
      <c r="T584" s="29"/>
      <c r="U584" s="29"/>
      <c r="V584" s="29"/>
      <c r="W584" s="29">
        <f t="shared" si="90"/>
        <v>7.275957614183426E-12</v>
      </c>
      <c r="X584" s="29">
        <f>10000+3000+6200+114000</f>
        <v>133200</v>
      </c>
      <c r="Y584" s="29">
        <f t="shared" si="93"/>
        <v>14598.100000000006</v>
      </c>
    </row>
    <row r="585" spans="1:25" ht="75">
      <c r="A585" s="290"/>
      <c r="B585" s="290"/>
      <c r="C585" s="290"/>
      <c r="D585" s="279"/>
      <c r="E585" s="28" t="s">
        <v>866</v>
      </c>
      <c r="F585" s="105">
        <f t="shared" si="89"/>
        <v>194755.33000000002</v>
      </c>
      <c r="G585" s="114">
        <v>1</v>
      </c>
      <c r="H585" s="105">
        <f t="shared" si="92"/>
        <v>194755.33000000002</v>
      </c>
      <c r="I585" s="223">
        <v>3122</v>
      </c>
      <c r="J585" s="47">
        <f>168000+26755.33</f>
        <v>194755.33000000002</v>
      </c>
      <c r="K585" s="29"/>
      <c r="L585" s="29"/>
      <c r="M585" s="29">
        <v>16800</v>
      </c>
      <c r="N585" s="29">
        <v>117600</v>
      </c>
      <c r="O585" s="29"/>
      <c r="P585" s="29"/>
      <c r="Q585" s="29">
        <f>33600+26755.33</f>
        <v>60355.33</v>
      </c>
      <c r="R585" s="29"/>
      <c r="S585" s="29"/>
      <c r="T585" s="29"/>
      <c r="U585" s="29"/>
      <c r="V585" s="29"/>
      <c r="W585" s="29">
        <f t="shared" si="90"/>
        <v>1.4551915228366852E-11</v>
      </c>
      <c r="X585" s="29">
        <f>9500+3100+5000+102200</f>
        <v>119800</v>
      </c>
      <c r="Y585" s="29">
        <f t="shared" si="93"/>
        <v>74955.33000000002</v>
      </c>
    </row>
    <row r="586" spans="1:25" ht="75">
      <c r="A586" s="290"/>
      <c r="B586" s="290"/>
      <c r="C586" s="290"/>
      <c r="D586" s="279"/>
      <c r="E586" s="28" t="s">
        <v>867</v>
      </c>
      <c r="F586" s="105">
        <f t="shared" si="89"/>
        <v>168676.82</v>
      </c>
      <c r="G586" s="114">
        <v>1</v>
      </c>
      <c r="H586" s="105">
        <f t="shared" si="92"/>
        <v>168676.82</v>
      </c>
      <c r="I586" s="223">
        <v>3122</v>
      </c>
      <c r="J586" s="47">
        <f>168000+676.82</f>
        <v>168676.82</v>
      </c>
      <c r="K586" s="29"/>
      <c r="L586" s="29"/>
      <c r="M586" s="29">
        <v>16800</v>
      </c>
      <c r="N586" s="29">
        <v>117600</v>
      </c>
      <c r="O586" s="29"/>
      <c r="P586" s="29"/>
      <c r="Q586" s="29">
        <f>33600+676.82</f>
        <v>34276.82</v>
      </c>
      <c r="R586" s="29"/>
      <c r="S586" s="29"/>
      <c r="T586" s="29"/>
      <c r="U586" s="29"/>
      <c r="V586" s="29"/>
      <c r="W586" s="29">
        <f t="shared" si="90"/>
        <v>7.275957614183426E-12</v>
      </c>
      <c r="X586" s="29">
        <f>10000+5400+119000</f>
        <v>134400</v>
      </c>
      <c r="Y586" s="29">
        <f t="shared" si="93"/>
        <v>34276.82000000001</v>
      </c>
    </row>
    <row r="587" spans="1:25" ht="75">
      <c r="A587" s="290"/>
      <c r="B587" s="290"/>
      <c r="C587" s="290"/>
      <c r="D587" s="279"/>
      <c r="E587" s="28" t="s">
        <v>145</v>
      </c>
      <c r="F587" s="105">
        <f t="shared" si="89"/>
        <v>182225.78</v>
      </c>
      <c r="G587" s="114">
        <v>1</v>
      </c>
      <c r="H587" s="105">
        <f t="shared" si="92"/>
        <v>182225.78</v>
      </c>
      <c r="I587" s="223">
        <v>3122</v>
      </c>
      <c r="J587" s="47">
        <f>168000+14225.78</f>
        <v>182225.78</v>
      </c>
      <c r="K587" s="29"/>
      <c r="L587" s="29"/>
      <c r="M587" s="29">
        <v>16800</v>
      </c>
      <c r="N587" s="29">
        <v>117600</v>
      </c>
      <c r="O587" s="29"/>
      <c r="P587" s="29"/>
      <c r="Q587" s="29">
        <f>33600+14225.78</f>
        <v>47825.78</v>
      </c>
      <c r="R587" s="29"/>
      <c r="S587" s="29"/>
      <c r="T587" s="29"/>
      <c r="U587" s="29"/>
      <c r="V587" s="29"/>
      <c r="W587" s="29">
        <f t="shared" si="90"/>
        <v>0</v>
      </c>
      <c r="X587" s="29">
        <f>9400+6400+118600</f>
        <v>134400</v>
      </c>
      <c r="Y587" s="29">
        <f t="shared" si="93"/>
        <v>47825.78</v>
      </c>
    </row>
    <row r="588" spans="1:25" ht="75">
      <c r="A588" s="290"/>
      <c r="B588" s="290"/>
      <c r="C588" s="290"/>
      <c r="D588" s="279"/>
      <c r="E588" s="28" t="s">
        <v>1099</v>
      </c>
      <c r="F588" s="105">
        <f t="shared" si="89"/>
        <v>129557.86</v>
      </c>
      <c r="G588" s="114">
        <v>1</v>
      </c>
      <c r="H588" s="105">
        <f t="shared" si="92"/>
        <v>129557.86</v>
      </c>
      <c r="I588" s="223">
        <v>3122</v>
      </c>
      <c r="J588" s="47">
        <f>232000-102442.14</f>
        <v>129557.86</v>
      </c>
      <c r="K588" s="29"/>
      <c r="L588" s="29"/>
      <c r="M588" s="29">
        <v>23200</v>
      </c>
      <c r="N588" s="29">
        <v>162400</v>
      </c>
      <c r="O588" s="29"/>
      <c r="P588" s="29"/>
      <c r="Q588" s="29">
        <f>46400-102442.14</f>
        <v>-56042.14</v>
      </c>
      <c r="R588" s="29"/>
      <c r="S588" s="29"/>
      <c r="T588" s="29"/>
      <c r="U588" s="29"/>
      <c r="V588" s="29"/>
      <c r="W588" s="29">
        <f t="shared" si="90"/>
        <v>0</v>
      </c>
      <c r="X588" s="29">
        <f>8800+5400+89000+23976.86+1841+540</f>
        <v>129557.86</v>
      </c>
      <c r="Y588" s="29">
        <f t="shared" si="93"/>
        <v>0</v>
      </c>
    </row>
    <row r="589" spans="1:25" ht="93.75">
      <c r="A589" s="290"/>
      <c r="B589" s="290"/>
      <c r="C589" s="290"/>
      <c r="D589" s="279"/>
      <c r="E589" s="28" t="s">
        <v>351</v>
      </c>
      <c r="F589" s="105">
        <f t="shared" si="89"/>
        <v>100000</v>
      </c>
      <c r="G589" s="114">
        <v>1</v>
      </c>
      <c r="H589" s="105">
        <f t="shared" si="92"/>
        <v>100000</v>
      </c>
      <c r="I589" s="223">
        <v>3122</v>
      </c>
      <c r="J589" s="47">
        <v>100000</v>
      </c>
      <c r="K589" s="29"/>
      <c r="L589" s="29"/>
      <c r="M589" s="29">
        <v>10000</v>
      </c>
      <c r="N589" s="29">
        <v>70000</v>
      </c>
      <c r="O589" s="29"/>
      <c r="P589" s="29"/>
      <c r="Q589" s="29">
        <v>20000</v>
      </c>
      <c r="R589" s="29"/>
      <c r="S589" s="29"/>
      <c r="T589" s="29"/>
      <c r="U589" s="29"/>
      <c r="V589" s="29"/>
      <c r="W589" s="29">
        <f t="shared" si="90"/>
        <v>0</v>
      </c>
      <c r="X589" s="29"/>
      <c r="Y589" s="29">
        <f t="shared" si="93"/>
        <v>100000</v>
      </c>
    </row>
    <row r="590" spans="1:25" ht="112.5">
      <c r="A590" s="290"/>
      <c r="B590" s="290"/>
      <c r="C590" s="290"/>
      <c r="D590" s="279"/>
      <c r="E590" s="28" t="s">
        <v>352</v>
      </c>
      <c r="F590" s="105">
        <f t="shared" si="89"/>
        <v>113705.82</v>
      </c>
      <c r="G590" s="114">
        <v>1</v>
      </c>
      <c r="H590" s="105">
        <f t="shared" si="92"/>
        <v>113705.82</v>
      </c>
      <c r="I590" s="223">
        <v>3122</v>
      </c>
      <c r="J590" s="47">
        <f>100000+13705.82</f>
        <v>113705.82</v>
      </c>
      <c r="K590" s="29"/>
      <c r="L590" s="29"/>
      <c r="M590" s="29">
        <v>10000</v>
      </c>
      <c r="N590" s="29">
        <v>70000</v>
      </c>
      <c r="O590" s="29"/>
      <c r="P590" s="29"/>
      <c r="Q590" s="29">
        <f>20000+13705.82</f>
        <v>33705.82</v>
      </c>
      <c r="R590" s="29"/>
      <c r="S590" s="29"/>
      <c r="T590" s="29"/>
      <c r="U590" s="29"/>
      <c r="V590" s="29"/>
      <c r="W590" s="29">
        <f t="shared" si="90"/>
        <v>7.275957614183426E-12</v>
      </c>
      <c r="X590" s="29">
        <f>8500+4500+67000+31558.46+1607.36+540</f>
        <v>113705.81999999999</v>
      </c>
      <c r="Y590" s="29">
        <f t="shared" si="93"/>
        <v>0</v>
      </c>
    </row>
    <row r="591" spans="1:25" ht="75">
      <c r="A591" s="290"/>
      <c r="B591" s="290"/>
      <c r="C591" s="290"/>
      <c r="D591" s="279"/>
      <c r="E591" s="28" t="s">
        <v>572</v>
      </c>
      <c r="F591" s="105">
        <f>J591</f>
        <v>699887.44</v>
      </c>
      <c r="G591" s="114">
        <v>1</v>
      </c>
      <c r="H591" s="105">
        <f>J591</f>
        <v>699887.44</v>
      </c>
      <c r="I591" s="223">
        <v>3122</v>
      </c>
      <c r="J591" s="47">
        <f>670000+29887.44</f>
        <v>699887.44</v>
      </c>
      <c r="K591" s="29"/>
      <c r="L591" s="29"/>
      <c r="M591" s="29">
        <v>67000</v>
      </c>
      <c r="N591" s="29">
        <v>469000</v>
      </c>
      <c r="O591" s="29"/>
      <c r="P591" s="29"/>
      <c r="Q591" s="29">
        <f>134000+29887.44</f>
        <v>163887.44</v>
      </c>
      <c r="R591" s="29"/>
      <c r="S591" s="29"/>
      <c r="T591" s="29"/>
      <c r="U591" s="29"/>
      <c r="V591" s="29"/>
      <c r="W591" s="29">
        <f t="shared" si="90"/>
        <v>-5.820766091346741E-11</v>
      </c>
      <c r="X591" s="29">
        <f>15000+22200+434000</f>
        <v>471200</v>
      </c>
      <c r="Y591" s="29">
        <f t="shared" si="93"/>
        <v>228687.43999999994</v>
      </c>
    </row>
    <row r="592" spans="1:25" ht="77.25" customHeight="1" hidden="1">
      <c r="A592" s="290"/>
      <c r="B592" s="290"/>
      <c r="C592" s="290"/>
      <c r="D592" s="279"/>
      <c r="E592" s="28" t="s">
        <v>431</v>
      </c>
      <c r="F592" s="105">
        <f>J592</f>
        <v>0</v>
      </c>
      <c r="G592" s="114">
        <v>1</v>
      </c>
      <c r="H592" s="105">
        <f>J592</f>
        <v>0</v>
      </c>
      <c r="I592" s="223">
        <v>3122</v>
      </c>
      <c r="J592" s="47">
        <f>262000-262000</f>
        <v>0</v>
      </c>
      <c r="K592" s="29"/>
      <c r="L592" s="29"/>
      <c r="M592" s="29">
        <f>26200-26200</f>
        <v>0</v>
      </c>
      <c r="N592" s="29">
        <f>183400-183400</f>
        <v>0</v>
      </c>
      <c r="O592" s="29"/>
      <c r="P592" s="29"/>
      <c r="Q592" s="29">
        <f>52400-52400</f>
        <v>0</v>
      </c>
      <c r="R592" s="29"/>
      <c r="S592" s="29"/>
      <c r="T592" s="29"/>
      <c r="U592" s="29"/>
      <c r="V592" s="29"/>
      <c r="W592" s="29">
        <f t="shared" si="90"/>
        <v>0</v>
      </c>
      <c r="X592" s="29"/>
      <c r="Y592" s="29">
        <f t="shared" si="93"/>
        <v>0</v>
      </c>
    </row>
    <row r="593" spans="1:25" ht="75">
      <c r="A593" s="290"/>
      <c r="B593" s="290"/>
      <c r="C593" s="290"/>
      <c r="D593" s="279"/>
      <c r="E593" s="28" t="s">
        <v>685</v>
      </c>
      <c r="F593" s="105">
        <f t="shared" si="89"/>
        <v>1500000</v>
      </c>
      <c r="G593" s="114">
        <v>1</v>
      </c>
      <c r="H593" s="105">
        <f t="shared" si="92"/>
        <v>1500000</v>
      </c>
      <c r="I593" s="223">
        <v>3122</v>
      </c>
      <c r="J593" s="47">
        <v>1500000</v>
      </c>
      <c r="K593" s="29"/>
      <c r="L593" s="29"/>
      <c r="M593" s="29">
        <v>700000</v>
      </c>
      <c r="N593" s="29"/>
      <c r="O593" s="29"/>
      <c r="P593" s="29">
        <v>400000</v>
      </c>
      <c r="Q593" s="29">
        <f>800000-400000-500000</f>
        <v>-100000</v>
      </c>
      <c r="R593" s="29"/>
      <c r="S593" s="29"/>
      <c r="T593" s="29"/>
      <c r="U593" s="29">
        <v>500000</v>
      </c>
      <c r="V593" s="29"/>
      <c r="W593" s="29">
        <f t="shared" si="90"/>
        <v>0</v>
      </c>
      <c r="X593" s="29">
        <f>450000+94640.49+450000</f>
        <v>994640.49</v>
      </c>
      <c r="Y593" s="29">
        <f t="shared" si="93"/>
        <v>5359.510000000009</v>
      </c>
    </row>
    <row r="594" spans="1:25" ht="56.25">
      <c r="A594" s="290"/>
      <c r="B594" s="297"/>
      <c r="C594" s="290"/>
      <c r="D594" s="279"/>
      <c r="E594" s="28" t="s">
        <v>353</v>
      </c>
      <c r="F594" s="105">
        <f t="shared" si="89"/>
        <v>645136</v>
      </c>
      <c r="G594" s="114">
        <v>1</v>
      </c>
      <c r="H594" s="105">
        <f t="shared" si="92"/>
        <v>645136</v>
      </c>
      <c r="I594" s="223">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90"/>
        <v>0</v>
      </c>
      <c r="X594" s="29"/>
      <c r="Y594" s="29">
        <f t="shared" si="93"/>
        <v>0</v>
      </c>
    </row>
    <row r="595" spans="1:25" ht="18.75" customHeight="1">
      <c r="A595" s="293" t="s">
        <v>146</v>
      </c>
      <c r="B595" s="293" t="s">
        <v>147</v>
      </c>
      <c r="C595" s="293" t="s">
        <v>275</v>
      </c>
      <c r="D595" s="278" t="s">
        <v>627</v>
      </c>
      <c r="E595" s="73"/>
      <c r="F595" s="73"/>
      <c r="G595" s="73"/>
      <c r="H595" s="73"/>
      <c r="I595" s="261"/>
      <c r="J595" s="60">
        <f>SUM(J596:J597)</f>
        <v>1000000</v>
      </c>
      <c r="K595" s="60">
        <f aca="true" t="shared" si="94" ref="K595:X595">SUM(K596:K597)</f>
        <v>0</v>
      </c>
      <c r="L595" s="60">
        <f t="shared" si="94"/>
        <v>0</v>
      </c>
      <c r="M595" s="60">
        <f t="shared" si="94"/>
        <v>0</v>
      </c>
      <c r="N595" s="60">
        <f t="shared" si="94"/>
        <v>0</v>
      </c>
      <c r="O595" s="60">
        <f t="shared" si="94"/>
        <v>0</v>
      </c>
      <c r="P595" s="60">
        <f t="shared" si="94"/>
        <v>0</v>
      </c>
      <c r="Q595" s="60">
        <f t="shared" si="94"/>
        <v>0</v>
      </c>
      <c r="R595" s="60">
        <f t="shared" si="94"/>
        <v>0</v>
      </c>
      <c r="S595" s="60">
        <f t="shared" si="94"/>
        <v>0</v>
      </c>
      <c r="T595" s="60">
        <f t="shared" si="94"/>
        <v>0</v>
      </c>
      <c r="U595" s="60">
        <f t="shared" si="94"/>
        <v>1000000</v>
      </c>
      <c r="V595" s="60">
        <f t="shared" si="94"/>
        <v>0</v>
      </c>
      <c r="W595" s="60">
        <f t="shared" si="94"/>
        <v>0</v>
      </c>
      <c r="X595" s="60">
        <f t="shared" si="94"/>
        <v>0</v>
      </c>
      <c r="Y595" s="29">
        <f t="shared" si="93"/>
        <v>0</v>
      </c>
    </row>
    <row r="596" spans="1:25" ht="36" hidden="1">
      <c r="A596" s="299"/>
      <c r="B596" s="299"/>
      <c r="C596" s="299"/>
      <c r="D596" s="279"/>
      <c r="E596" s="74" t="s">
        <v>829</v>
      </c>
      <c r="F596" s="74"/>
      <c r="G596" s="74"/>
      <c r="H596" s="74"/>
      <c r="I596" s="262">
        <v>3110</v>
      </c>
      <c r="J596" s="47">
        <f>1000000-1000000</f>
        <v>0</v>
      </c>
      <c r="K596" s="29"/>
      <c r="L596" s="29"/>
      <c r="M596" s="29"/>
      <c r="N596" s="29"/>
      <c r="O596" s="29"/>
      <c r="P596" s="29"/>
      <c r="Q596" s="29"/>
      <c r="R596" s="29"/>
      <c r="S596" s="29"/>
      <c r="T596" s="29">
        <f>1000000-1000000</f>
        <v>0</v>
      </c>
      <c r="U596" s="29"/>
      <c r="V596" s="29"/>
      <c r="W596" s="29">
        <f t="shared" si="90"/>
        <v>0</v>
      </c>
      <c r="X596" s="29"/>
      <c r="Y596" s="29">
        <f t="shared" si="93"/>
        <v>0</v>
      </c>
    </row>
    <row r="597" spans="1:25" ht="37.5">
      <c r="A597" s="294"/>
      <c r="B597" s="294"/>
      <c r="C597" s="294"/>
      <c r="D597" s="292"/>
      <c r="E597" s="74" t="s">
        <v>715</v>
      </c>
      <c r="F597" s="74"/>
      <c r="G597" s="74"/>
      <c r="H597" s="74"/>
      <c r="I597" s="262">
        <v>3110</v>
      </c>
      <c r="J597" s="47">
        <v>1000000</v>
      </c>
      <c r="K597" s="29"/>
      <c r="L597" s="29"/>
      <c r="M597" s="29"/>
      <c r="N597" s="29"/>
      <c r="O597" s="29"/>
      <c r="P597" s="29"/>
      <c r="Q597" s="29"/>
      <c r="R597" s="29"/>
      <c r="S597" s="29"/>
      <c r="T597" s="29"/>
      <c r="U597" s="29">
        <v>1000000</v>
      </c>
      <c r="V597" s="29"/>
      <c r="W597" s="29">
        <f t="shared" si="90"/>
        <v>0</v>
      </c>
      <c r="X597" s="29"/>
      <c r="Y597" s="29">
        <f t="shared" si="93"/>
        <v>0</v>
      </c>
    </row>
    <row r="598" spans="1:25" ht="18.75">
      <c r="A598" s="289" t="s">
        <v>148</v>
      </c>
      <c r="B598" s="289" t="s">
        <v>467</v>
      </c>
      <c r="C598" s="289" t="s">
        <v>628</v>
      </c>
      <c r="D598" s="278" t="s">
        <v>568</v>
      </c>
      <c r="E598" s="73"/>
      <c r="F598" s="73"/>
      <c r="G598" s="73"/>
      <c r="H598" s="73"/>
      <c r="I598" s="261"/>
      <c r="J598" s="60">
        <f>SUM(J599:J727)</f>
        <v>90794843.39</v>
      </c>
      <c r="K598" s="60">
        <f aca="true" t="shared" si="95" ref="K598:X598">SUM(K599:K727)</f>
        <v>0</v>
      </c>
      <c r="L598" s="60">
        <f t="shared" si="95"/>
        <v>894745</v>
      </c>
      <c r="M598" s="60">
        <f t="shared" si="95"/>
        <v>20489079</v>
      </c>
      <c r="N598" s="60">
        <f t="shared" si="95"/>
        <v>5649336</v>
      </c>
      <c r="O598" s="60">
        <f t="shared" si="95"/>
        <v>7180675</v>
      </c>
      <c r="P598" s="60">
        <f t="shared" si="95"/>
        <v>5489425.109999999</v>
      </c>
      <c r="Q598" s="60">
        <f t="shared" si="95"/>
        <v>11263395.24</v>
      </c>
      <c r="R598" s="60">
        <f t="shared" si="95"/>
        <v>13671209.639999999</v>
      </c>
      <c r="S598" s="60">
        <f t="shared" si="95"/>
        <v>3950925.8899999997</v>
      </c>
      <c r="T598" s="60">
        <f t="shared" si="95"/>
        <v>6485941.2299999995</v>
      </c>
      <c r="U598" s="60">
        <f t="shared" si="95"/>
        <v>7862597.24</v>
      </c>
      <c r="V598" s="60">
        <f t="shared" si="95"/>
        <v>7857514.04</v>
      </c>
      <c r="W598" s="60">
        <f t="shared" si="95"/>
        <v>-1.3096723705530167E-10</v>
      </c>
      <c r="X598" s="60">
        <f t="shared" si="95"/>
        <v>46411855.120000005</v>
      </c>
      <c r="Y598" s="29">
        <f t="shared" si="93"/>
        <v>18226009.869999997</v>
      </c>
    </row>
    <row r="599" spans="1:25" ht="75">
      <c r="A599" s="290"/>
      <c r="B599" s="290"/>
      <c r="C599" s="290"/>
      <c r="D599" s="279"/>
      <c r="E599" s="73" t="s">
        <v>548</v>
      </c>
      <c r="F599" s="105">
        <f>J599</f>
        <v>767000</v>
      </c>
      <c r="G599" s="114">
        <v>1</v>
      </c>
      <c r="H599" s="105">
        <f aca="true" t="shared" si="96" ref="H599:H670">J599</f>
        <v>767000</v>
      </c>
      <c r="I599" s="223">
        <v>3132</v>
      </c>
      <c r="J599" s="54">
        <v>767000</v>
      </c>
      <c r="K599" s="182"/>
      <c r="L599" s="182"/>
      <c r="M599" s="182"/>
      <c r="N599" s="182"/>
      <c r="O599" s="182"/>
      <c r="P599" s="182"/>
      <c r="Q599" s="182">
        <v>76700</v>
      </c>
      <c r="R599" s="182">
        <v>536900</v>
      </c>
      <c r="S599" s="182"/>
      <c r="T599" s="182">
        <v>153400</v>
      </c>
      <c r="U599" s="182"/>
      <c r="V599" s="182"/>
      <c r="W599" s="29">
        <f t="shared" si="90"/>
        <v>0</v>
      </c>
      <c r="X599" s="29"/>
      <c r="Y599" s="29">
        <f t="shared" si="93"/>
        <v>613600</v>
      </c>
    </row>
    <row r="600" spans="1:25" ht="43.5" customHeight="1" hidden="1">
      <c r="A600" s="290"/>
      <c r="B600" s="290"/>
      <c r="C600" s="290"/>
      <c r="D600" s="279"/>
      <c r="E600" s="73" t="s">
        <v>1114</v>
      </c>
      <c r="F600" s="105">
        <f aca="true" t="shared" si="97" ref="F600:F671">J600</f>
        <v>0</v>
      </c>
      <c r="G600" s="114">
        <v>1</v>
      </c>
      <c r="H600" s="105">
        <f t="shared" si="96"/>
        <v>0</v>
      </c>
      <c r="I600" s="223">
        <v>3132</v>
      </c>
      <c r="J600" s="54">
        <f>80000-80000</f>
        <v>0</v>
      </c>
      <c r="K600" s="182"/>
      <c r="L600" s="182"/>
      <c r="M600" s="182"/>
      <c r="N600" s="182"/>
      <c r="O600" s="182"/>
      <c r="P600" s="182"/>
      <c r="Q600" s="182">
        <f>8000-8000</f>
        <v>0</v>
      </c>
      <c r="R600" s="182">
        <f>56000-56000</f>
        <v>0</v>
      </c>
      <c r="S600" s="182"/>
      <c r="T600" s="182">
        <f>16000-16000</f>
        <v>0</v>
      </c>
      <c r="U600" s="182"/>
      <c r="V600" s="182"/>
      <c r="W600" s="29">
        <f t="shared" si="90"/>
        <v>0</v>
      </c>
      <c r="X600" s="29"/>
      <c r="Y600" s="29">
        <f t="shared" si="93"/>
        <v>0</v>
      </c>
    </row>
    <row r="601" spans="1:25" ht="43.5" customHeight="1" hidden="1">
      <c r="A601" s="290"/>
      <c r="B601" s="290"/>
      <c r="C601" s="290"/>
      <c r="D601" s="279"/>
      <c r="E601" s="73" t="s">
        <v>830</v>
      </c>
      <c r="F601" s="105">
        <f t="shared" si="97"/>
        <v>0</v>
      </c>
      <c r="G601" s="114">
        <v>1</v>
      </c>
      <c r="H601" s="105">
        <f t="shared" si="96"/>
        <v>0</v>
      </c>
      <c r="I601" s="223">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90"/>
        <v>0</v>
      </c>
      <c r="X601" s="29"/>
      <c r="Y601" s="29">
        <f t="shared" si="93"/>
        <v>0</v>
      </c>
    </row>
    <row r="602" spans="1:25" ht="62.25" customHeight="1">
      <c r="A602" s="290"/>
      <c r="B602" s="290"/>
      <c r="C602" s="290"/>
      <c r="D602" s="279"/>
      <c r="E602" s="73" t="s">
        <v>32</v>
      </c>
      <c r="F602" s="105">
        <f t="shared" si="97"/>
        <v>153400</v>
      </c>
      <c r="G602" s="114">
        <v>1</v>
      </c>
      <c r="H602" s="105">
        <f t="shared" si="96"/>
        <v>153400</v>
      </c>
      <c r="I602" s="223">
        <v>3132</v>
      </c>
      <c r="J602" s="54">
        <v>153400</v>
      </c>
      <c r="K602" s="182"/>
      <c r="L602" s="182"/>
      <c r="M602" s="182"/>
      <c r="N602" s="182"/>
      <c r="O602" s="182"/>
      <c r="P602" s="182"/>
      <c r="Q602" s="182">
        <v>15340</v>
      </c>
      <c r="R602" s="182">
        <v>107380</v>
      </c>
      <c r="S602" s="182"/>
      <c r="T602" s="182">
        <v>30680</v>
      </c>
      <c r="U602" s="182"/>
      <c r="V602" s="182"/>
      <c r="W602" s="29">
        <f t="shared" si="90"/>
        <v>0</v>
      </c>
      <c r="X602" s="29"/>
      <c r="Y602" s="29">
        <f t="shared" si="93"/>
        <v>122720</v>
      </c>
    </row>
    <row r="603" spans="1:25" ht="56.25">
      <c r="A603" s="290"/>
      <c r="B603" s="290"/>
      <c r="C603" s="290"/>
      <c r="D603" s="279"/>
      <c r="E603" s="73" t="s">
        <v>986</v>
      </c>
      <c r="F603" s="105">
        <f t="shared" si="97"/>
        <v>153400</v>
      </c>
      <c r="G603" s="114">
        <v>1</v>
      </c>
      <c r="H603" s="105">
        <f t="shared" si="96"/>
        <v>153400</v>
      </c>
      <c r="I603" s="223">
        <v>3132</v>
      </c>
      <c r="J603" s="54">
        <v>153400</v>
      </c>
      <c r="K603" s="182"/>
      <c r="L603" s="182"/>
      <c r="M603" s="182"/>
      <c r="N603" s="182"/>
      <c r="O603" s="182"/>
      <c r="P603" s="182"/>
      <c r="Q603" s="182">
        <v>15340</v>
      </c>
      <c r="R603" s="182">
        <v>107380</v>
      </c>
      <c r="S603" s="182"/>
      <c r="T603" s="182">
        <v>30680</v>
      </c>
      <c r="U603" s="182"/>
      <c r="V603" s="182"/>
      <c r="W603" s="29">
        <f t="shared" si="90"/>
        <v>0</v>
      </c>
      <c r="X603" s="29"/>
      <c r="Y603" s="29">
        <f t="shared" si="93"/>
        <v>122720</v>
      </c>
    </row>
    <row r="604" spans="1:25" ht="46.5" customHeight="1">
      <c r="A604" s="290"/>
      <c r="B604" s="290"/>
      <c r="C604" s="290"/>
      <c r="D604" s="279"/>
      <c r="E604" s="73" t="s">
        <v>107</v>
      </c>
      <c r="F604" s="105">
        <f t="shared" si="97"/>
        <v>200000</v>
      </c>
      <c r="G604" s="114">
        <v>1</v>
      </c>
      <c r="H604" s="105">
        <f t="shared" si="96"/>
        <v>200000</v>
      </c>
      <c r="I604" s="223">
        <v>3132</v>
      </c>
      <c r="J604" s="54">
        <v>200000</v>
      </c>
      <c r="K604" s="182"/>
      <c r="L604" s="182"/>
      <c r="M604" s="182"/>
      <c r="N604" s="182"/>
      <c r="O604" s="182"/>
      <c r="P604" s="182"/>
      <c r="Q604" s="182">
        <v>20000</v>
      </c>
      <c r="R604" s="182">
        <v>140000</v>
      </c>
      <c r="S604" s="182"/>
      <c r="T604" s="182">
        <v>40000</v>
      </c>
      <c r="U604" s="182"/>
      <c r="V604" s="182"/>
      <c r="W604" s="29">
        <f t="shared" si="90"/>
        <v>0</v>
      </c>
      <c r="X604" s="29"/>
      <c r="Y604" s="29">
        <f t="shared" si="93"/>
        <v>160000</v>
      </c>
    </row>
    <row r="605" spans="1:25" ht="44.25" customHeight="1">
      <c r="A605" s="290"/>
      <c r="B605" s="290"/>
      <c r="C605" s="290"/>
      <c r="D605" s="279"/>
      <c r="E605" s="73" t="s">
        <v>108</v>
      </c>
      <c r="F605" s="105">
        <f t="shared" si="97"/>
        <v>200000</v>
      </c>
      <c r="G605" s="114">
        <v>1</v>
      </c>
      <c r="H605" s="105">
        <f t="shared" si="96"/>
        <v>200000</v>
      </c>
      <c r="I605" s="223">
        <v>3132</v>
      </c>
      <c r="J605" s="54">
        <v>200000</v>
      </c>
      <c r="K605" s="182"/>
      <c r="L605" s="182"/>
      <c r="M605" s="182"/>
      <c r="N605" s="182"/>
      <c r="O605" s="182"/>
      <c r="P605" s="182"/>
      <c r="Q605" s="182">
        <v>20000</v>
      </c>
      <c r="R605" s="182">
        <v>140000</v>
      </c>
      <c r="S605" s="182"/>
      <c r="T605" s="182">
        <v>40000</v>
      </c>
      <c r="U605" s="182"/>
      <c r="V605" s="182"/>
      <c r="W605" s="29">
        <f t="shared" si="90"/>
        <v>0</v>
      </c>
      <c r="X605" s="29"/>
      <c r="Y605" s="29">
        <f t="shared" si="93"/>
        <v>160000</v>
      </c>
    </row>
    <row r="606" spans="1:25" ht="56.25">
      <c r="A606" s="290"/>
      <c r="B606" s="290"/>
      <c r="C606" s="290"/>
      <c r="D606" s="279"/>
      <c r="E606" s="73" t="s">
        <v>38</v>
      </c>
      <c r="F606" s="105">
        <f t="shared" si="97"/>
        <v>100000</v>
      </c>
      <c r="G606" s="114">
        <v>1</v>
      </c>
      <c r="H606" s="105">
        <f t="shared" si="96"/>
        <v>100000</v>
      </c>
      <c r="I606" s="223">
        <v>3132</v>
      </c>
      <c r="J606" s="54">
        <v>100000</v>
      </c>
      <c r="K606" s="182"/>
      <c r="L606" s="182"/>
      <c r="M606" s="182"/>
      <c r="N606" s="182"/>
      <c r="O606" s="182"/>
      <c r="P606" s="182"/>
      <c r="Q606" s="182">
        <v>10000</v>
      </c>
      <c r="R606" s="182">
        <v>70000</v>
      </c>
      <c r="S606" s="182"/>
      <c r="T606" s="182">
        <v>20000</v>
      </c>
      <c r="U606" s="182"/>
      <c r="V606" s="182"/>
      <c r="W606" s="29">
        <f t="shared" si="90"/>
        <v>0</v>
      </c>
      <c r="X606" s="29"/>
      <c r="Y606" s="29">
        <f t="shared" si="93"/>
        <v>80000</v>
      </c>
    </row>
    <row r="607" spans="1:25" ht="56.25">
      <c r="A607" s="290"/>
      <c r="B607" s="290"/>
      <c r="C607" s="290"/>
      <c r="D607" s="279"/>
      <c r="E607" s="73" t="s">
        <v>438</v>
      </c>
      <c r="F607" s="105">
        <f t="shared" si="97"/>
        <v>100000</v>
      </c>
      <c r="G607" s="114">
        <v>1</v>
      </c>
      <c r="H607" s="105">
        <f t="shared" si="96"/>
        <v>100000</v>
      </c>
      <c r="I607" s="223">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3"/>
        <v>80000</v>
      </c>
    </row>
    <row r="608" spans="1:25" ht="66.75" customHeight="1">
      <c r="A608" s="290"/>
      <c r="B608" s="290"/>
      <c r="C608" s="290"/>
      <c r="D608" s="279"/>
      <c r="E608" s="73" t="s">
        <v>500</v>
      </c>
      <c r="F608" s="105">
        <f t="shared" si="97"/>
        <v>225600</v>
      </c>
      <c r="G608" s="114">
        <v>1</v>
      </c>
      <c r="H608" s="105">
        <f t="shared" si="96"/>
        <v>225600</v>
      </c>
      <c r="I608" s="223">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3"/>
        <v>180480</v>
      </c>
    </row>
    <row r="609" spans="1:25" ht="65.25" customHeight="1">
      <c r="A609" s="290"/>
      <c r="B609" s="290"/>
      <c r="C609" s="290"/>
      <c r="D609" s="279"/>
      <c r="E609" s="73" t="s">
        <v>396</v>
      </c>
      <c r="F609" s="105">
        <f t="shared" si="97"/>
        <v>225700</v>
      </c>
      <c r="G609" s="114">
        <v>1</v>
      </c>
      <c r="H609" s="105">
        <f t="shared" si="96"/>
        <v>225700</v>
      </c>
      <c r="I609" s="223">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3"/>
        <v>180560</v>
      </c>
    </row>
    <row r="610" spans="1:25" ht="79.5" customHeight="1">
      <c r="A610" s="290"/>
      <c r="B610" s="290"/>
      <c r="C610" s="290"/>
      <c r="D610" s="279"/>
      <c r="E610" s="73" t="s">
        <v>8</v>
      </c>
      <c r="F610" s="105">
        <f t="shared" si="97"/>
        <v>600000</v>
      </c>
      <c r="G610" s="114">
        <v>1</v>
      </c>
      <c r="H610" s="105">
        <f t="shared" si="96"/>
        <v>600000</v>
      </c>
      <c r="I610" s="223">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3"/>
        <v>480000</v>
      </c>
    </row>
    <row r="611" spans="1:25" ht="62.25" customHeight="1" hidden="1">
      <c r="A611" s="290"/>
      <c r="B611" s="290"/>
      <c r="C611" s="290"/>
      <c r="D611" s="279"/>
      <c r="E611" s="73" t="s">
        <v>439</v>
      </c>
      <c r="F611" s="105">
        <f t="shared" si="97"/>
        <v>0</v>
      </c>
      <c r="G611" s="114">
        <v>1</v>
      </c>
      <c r="H611" s="105">
        <f t="shared" si="96"/>
        <v>0</v>
      </c>
      <c r="I611" s="223">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3"/>
        <v>0</v>
      </c>
    </row>
    <row r="612" spans="1:25" ht="63" customHeight="1">
      <c r="A612" s="290"/>
      <c r="B612" s="290"/>
      <c r="C612" s="290"/>
      <c r="D612" s="279"/>
      <c r="E612" s="73" t="s">
        <v>109</v>
      </c>
      <c r="F612" s="105">
        <f t="shared" si="97"/>
        <v>620000</v>
      </c>
      <c r="G612" s="114">
        <v>1</v>
      </c>
      <c r="H612" s="105">
        <f t="shared" si="96"/>
        <v>620000</v>
      </c>
      <c r="I612" s="223">
        <v>3132</v>
      </c>
      <c r="J612" s="54">
        <v>620000</v>
      </c>
      <c r="K612" s="182"/>
      <c r="L612" s="182"/>
      <c r="M612" s="182"/>
      <c r="N612" s="182"/>
      <c r="O612" s="182"/>
      <c r="P612" s="182"/>
      <c r="Q612" s="182">
        <v>62000</v>
      </c>
      <c r="R612" s="182">
        <f>434000-496000</f>
        <v>-62000</v>
      </c>
      <c r="S612" s="182"/>
      <c r="T612" s="182">
        <f>124000+496000</f>
        <v>620000</v>
      </c>
      <c r="U612" s="182"/>
      <c r="V612" s="182"/>
      <c r="W612" s="29">
        <f t="shared" si="98"/>
        <v>0</v>
      </c>
      <c r="X612" s="29"/>
      <c r="Y612" s="29">
        <f t="shared" si="93"/>
        <v>0</v>
      </c>
    </row>
    <row r="613" spans="1:25" ht="45.75" customHeight="1" hidden="1">
      <c r="A613" s="290"/>
      <c r="B613" s="290"/>
      <c r="C613" s="290"/>
      <c r="D613" s="279"/>
      <c r="E613" s="73" t="s">
        <v>1113</v>
      </c>
      <c r="F613" s="105">
        <f t="shared" si="97"/>
        <v>0</v>
      </c>
      <c r="G613" s="114">
        <v>1</v>
      </c>
      <c r="H613" s="105">
        <f t="shared" si="96"/>
        <v>0</v>
      </c>
      <c r="I613" s="223">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3"/>
        <v>0</v>
      </c>
    </row>
    <row r="614" spans="1:25" ht="44.25" customHeight="1">
      <c r="A614" s="290"/>
      <c r="B614" s="290"/>
      <c r="C614" s="290"/>
      <c r="D614" s="279"/>
      <c r="E614" s="73" t="s">
        <v>780</v>
      </c>
      <c r="F614" s="105">
        <f t="shared" si="97"/>
        <v>200000</v>
      </c>
      <c r="G614" s="114">
        <v>1</v>
      </c>
      <c r="H614" s="105">
        <f t="shared" si="96"/>
        <v>200000</v>
      </c>
      <c r="I614" s="223">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3"/>
        <v>160000</v>
      </c>
    </row>
    <row r="615" spans="1:25" ht="56.25">
      <c r="A615" s="290"/>
      <c r="B615" s="290"/>
      <c r="C615" s="290"/>
      <c r="D615" s="279"/>
      <c r="E615" s="73" t="s">
        <v>804</v>
      </c>
      <c r="F615" s="105">
        <f t="shared" si="97"/>
        <v>100000</v>
      </c>
      <c r="G615" s="114">
        <v>1</v>
      </c>
      <c r="H615" s="105">
        <f t="shared" si="96"/>
        <v>100000</v>
      </c>
      <c r="I615" s="223">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3"/>
        <v>80000</v>
      </c>
    </row>
    <row r="616" spans="1:25" ht="36" hidden="1">
      <c r="A616" s="290"/>
      <c r="B616" s="290"/>
      <c r="C616" s="290"/>
      <c r="D616" s="279"/>
      <c r="E616" s="73" t="s">
        <v>684</v>
      </c>
      <c r="F616" s="105">
        <f>J616</f>
        <v>0</v>
      </c>
      <c r="G616" s="114">
        <v>1</v>
      </c>
      <c r="H616" s="105">
        <f>J616</f>
        <v>0</v>
      </c>
      <c r="I616" s="223">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3"/>
        <v>0</v>
      </c>
    </row>
    <row r="617" spans="1:25" ht="56.25">
      <c r="A617" s="290"/>
      <c r="B617" s="290"/>
      <c r="C617" s="290"/>
      <c r="D617" s="279"/>
      <c r="E617" s="73" t="s">
        <v>720</v>
      </c>
      <c r="F617" s="105">
        <f>J617</f>
        <v>40000</v>
      </c>
      <c r="G617" s="114"/>
      <c r="H617" s="105">
        <f>J617</f>
        <v>40000</v>
      </c>
      <c r="I617" s="223">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3"/>
        <v>4000</v>
      </c>
    </row>
    <row r="618" spans="1:25" ht="93.75">
      <c r="A618" s="290"/>
      <c r="B618" s="290"/>
      <c r="C618" s="290"/>
      <c r="D618" s="279"/>
      <c r="E618" s="73" t="s">
        <v>456</v>
      </c>
      <c r="F618" s="105">
        <f>J618</f>
        <v>167000</v>
      </c>
      <c r="G618" s="114"/>
      <c r="H618" s="105">
        <f>J618</f>
        <v>167000</v>
      </c>
      <c r="I618" s="223">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3"/>
        <v>40000</v>
      </c>
    </row>
    <row r="619" spans="1:25" ht="60" customHeight="1">
      <c r="A619" s="290"/>
      <c r="B619" s="290"/>
      <c r="C619" s="290"/>
      <c r="D619" s="279"/>
      <c r="E619" s="73" t="s">
        <v>987</v>
      </c>
      <c r="F619" s="105">
        <f t="shared" si="97"/>
        <v>153400</v>
      </c>
      <c r="G619" s="114">
        <v>1</v>
      </c>
      <c r="H619" s="105">
        <f t="shared" si="96"/>
        <v>153400</v>
      </c>
      <c r="I619" s="223">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3"/>
        <v>122720</v>
      </c>
    </row>
    <row r="620" spans="1:25" ht="56.25">
      <c r="A620" s="290"/>
      <c r="B620" s="290"/>
      <c r="C620" s="290"/>
      <c r="D620" s="279"/>
      <c r="E620" s="73" t="s">
        <v>988</v>
      </c>
      <c r="F620" s="105">
        <f t="shared" si="97"/>
        <v>153400</v>
      </c>
      <c r="G620" s="114">
        <v>1</v>
      </c>
      <c r="H620" s="105">
        <f t="shared" si="96"/>
        <v>153400</v>
      </c>
      <c r="I620" s="223">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3"/>
        <v>122720</v>
      </c>
    </row>
    <row r="621" spans="1:25" ht="63" customHeight="1">
      <c r="A621" s="290"/>
      <c r="B621" s="290"/>
      <c r="C621" s="290"/>
      <c r="D621" s="279"/>
      <c r="E621" s="73" t="s">
        <v>429</v>
      </c>
      <c r="F621" s="105">
        <f t="shared" si="97"/>
        <v>153400</v>
      </c>
      <c r="G621" s="114">
        <v>1</v>
      </c>
      <c r="H621" s="105">
        <f t="shared" si="96"/>
        <v>153400</v>
      </c>
      <c r="I621" s="223">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3"/>
        <v>122720</v>
      </c>
    </row>
    <row r="622" spans="1:25" ht="98.25" customHeight="1">
      <c r="A622" s="290"/>
      <c r="B622" s="290"/>
      <c r="C622" s="290"/>
      <c r="D622" s="279"/>
      <c r="E622" s="73" t="s">
        <v>1135</v>
      </c>
      <c r="F622" s="105">
        <f t="shared" si="97"/>
        <v>560000</v>
      </c>
      <c r="G622" s="114">
        <v>1</v>
      </c>
      <c r="H622" s="105">
        <f t="shared" si="96"/>
        <v>560000</v>
      </c>
      <c r="I622" s="223">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3"/>
        <v>448000</v>
      </c>
    </row>
    <row r="623" spans="1:25" ht="56.25">
      <c r="A623" s="290"/>
      <c r="B623" s="290"/>
      <c r="C623" s="290"/>
      <c r="D623" s="279"/>
      <c r="E623" s="73" t="s">
        <v>430</v>
      </c>
      <c r="F623" s="105">
        <f t="shared" si="97"/>
        <v>1534000</v>
      </c>
      <c r="G623" s="114">
        <v>1</v>
      </c>
      <c r="H623" s="105">
        <f t="shared" si="96"/>
        <v>1534000</v>
      </c>
      <c r="I623" s="223">
        <v>3132</v>
      </c>
      <c r="J623" s="54">
        <v>1534000</v>
      </c>
      <c r="K623" s="182"/>
      <c r="L623" s="182"/>
      <c r="M623" s="182"/>
      <c r="N623" s="182"/>
      <c r="O623" s="182"/>
      <c r="P623" s="182"/>
      <c r="Q623" s="182">
        <v>153400</v>
      </c>
      <c r="R623" s="182">
        <f>1073800-4000</f>
        <v>1069800</v>
      </c>
      <c r="S623" s="182"/>
      <c r="T623" s="182">
        <f>306800+4000</f>
        <v>310800</v>
      </c>
      <c r="U623" s="182"/>
      <c r="V623" s="182"/>
      <c r="W623" s="29">
        <f t="shared" si="98"/>
        <v>0</v>
      </c>
      <c r="X623" s="29"/>
      <c r="Y623" s="29">
        <f t="shared" si="93"/>
        <v>1223200</v>
      </c>
    </row>
    <row r="624" spans="1:25" ht="79.5" customHeight="1">
      <c r="A624" s="290"/>
      <c r="B624" s="290"/>
      <c r="C624" s="290"/>
      <c r="D624" s="279"/>
      <c r="E624" s="73" t="s">
        <v>1136</v>
      </c>
      <c r="F624" s="105">
        <f t="shared" si="97"/>
        <v>100000</v>
      </c>
      <c r="G624" s="114">
        <v>1</v>
      </c>
      <c r="H624" s="105">
        <f t="shared" si="96"/>
        <v>100000</v>
      </c>
      <c r="I624" s="223">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3"/>
        <v>80000</v>
      </c>
    </row>
    <row r="625" spans="1:25" ht="57.75" customHeight="1">
      <c r="A625" s="290"/>
      <c r="B625" s="290"/>
      <c r="C625" s="290"/>
      <c r="D625" s="279"/>
      <c r="E625" s="73" t="s">
        <v>397</v>
      </c>
      <c r="F625" s="105">
        <f t="shared" si="97"/>
        <v>225700</v>
      </c>
      <c r="G625" s="114">
        <v>1</v>
      </c>
      <c r="H625" s="105">
        <f t="shared" si="96"/>
        <v>225700</v>
      </c>
      <c r="I625" s="223">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3"/>
        <v>180560</v>
      </c>
    </row>
    <row r="626" spans="1:25" ht="40.5" customHeight="1" hidden="1">
      <c r="A626" s="290"/>
      <c r="B626" s="290"/>
      <c r="C626" s="290"/>
      <c r="D626" s="279"/>
      <c r="E626" s="73" t="s">
        <v>144</v>
      </c>
      <c r="F626" s="105">
        <f t="shared" si="97"/>
        <v>0</v>
      </c>
      <c r="G626" s="114">
        <v>1</v>
      </c>
      <c r="H626" s="105">
        <f t="shared" si="96"/>
        <v>0</v>
      </c>
      <c r="I626" s="223">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3"/>
        <v>0</v>
      </c>
    </row>
    <row r="627" spans="1:25" ht="45.75" customHeight="1">
      <c r="A627" s="290"/>
      <c r="B627" s="290"/>
      <c r="C627" s="290"/>
      <c r="D627" s="279"/>
      <c r="E627" s="73" t="s">
        <v>779</v>
      </c>
      <c r="F627" s="105">
        <f t="shared" si="97"/>
        <v>200000</v>
      </c>
      <c r="G627" s="114">
        <v>1</v>
      </c>
      <c r="H627" s="105">
        <f t="shared" si="96"/>
        <v>200000</v>
      </c>
      <c r="I627" s="223">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3"/>
        <v>160000</v>
      </c>
    </row>
    <row r="628" spans="1:25" ht="37.5">
      <c r="A628" s="290"/>
      <c r="B628" s="290"/>
      <c r="C628" s="290"/>
      <c r="D628" s="279"/>
      <c r="E628" s="73" t="s">
        <v>547</v>
      </c>
      <c r="F628" s="105">
        <f t="shared" si="97"/>
        <v>100000</v>
      </c>
      <c r="G628" s="114">
        <v>1</v>
      </c>
      <c r="H628" s="105">
        <f t="shared" si="96"/>
        <v>100000</v>
      </c>
      <c r="I628" s="223">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3"/>
        <v>80000</v>
      </c>
    </row>
    <row r="629" spans="1:25" ht="93.75">
      <c r="A629" s="290"/>
      <c r="B629" s="290"/>
      <c r="C629" s="290"/>
      <c r="D629" s="279"/>
      <c r="E629" s="73" t="s">
        <v>863</v>
      </c>
      <c r="F629" s="105">
        <f t="shared" si="97"/>
        <v>350000</v>
      </c>
      <c r="G629" s="114">
        <v>1</v>
      </c>
      <c r="H629" s="105">
        <f t="shared" si="96"/>
        <v>350000</v>
      </c>
      <c r="I629" s="223">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3"/>
        <v>280000</v>
      </c>
    </row>
    <row r="630" spans="1:25" ht="44.25" customHeight="1">
      <c r="A630" s="290"/>
      <c r="B630" s="290"/>
      <c r="C630" s="290"/>
      <c r="D630" s="279"/>
      <c r="E630" s="73" t="s">
        <v>143</v>
      </c>
      <c r="F630" s="105">
        <f t="shared" si="97"/>
        <v>100000</v>
      </c>
      <c r="G630" s="114">
        <v>1</v>
      </c>
      <c r="H630" s="105">
        <f t="shared" si="96"/>
        <v>100000</v>
      </c>
      <c r="I630" s="223">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3"/>
        <v>80000</v>
      </c>
    </row>
    <row r="631" spans="1:25" ht="45.75" customHeight="1" hidden="1">
      <c r="A631" s="290"/>
      <c r="B631" s="290"/>
      <c r="C631" s="290"/>
      <c r="D631" s="279"/>
      <c r="E631" s="73" t="s">
        <v>307</v>
      </c>
      <c r="F631" s="105">
        <f t="shared" si="97"/>
        <v>0</v>
      </c>
      <c r="G631" s="114">
        <v>1</v>
      </c>
      <c r="H631" s="105">
        <f t="shared" si="96"/>
        <v>0</v>
      </c>
      <c r="I631" s="223">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3"/>
        <v>0</v>
      </c>
    </row>
    <row r="632" spans="1:25" ht="54" hidden="1">
      <c r="A632" s="290"/>
      <c r="B632" s="290"/>
      <c r="C632" s="290"/>
      <c r="D632" s="279"/>
      <c r="E632" s="73" t="s">
        <v>721</v>
      </c>
      <c r="F632" s="105">
        <f t="shared" si="97"/>
        <v>0</v>
      </c>
      <c r="G632" s="114"/>
      <c r="H632" s="105">
        <f t="shared" si="96"/>
        <v>0</v>
      </c>
      <c r="I632" s="223">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3"/>
        <v>0</v>
      </c>
    </row>
    <row r="633" spans="1:25" ht="41.25" customHeight="1">
      <c r="A633" s="290"/>
      <c r="B633" s="290"/>
      <c r="C633" s="290"/>
      <c r="D633" s="279"/>
      <c r="E633" s="73" t="s">
        <v>7</v>
      </c>
      <c r="F633" s="105">
        <f t="shared" si="97"/>
        <v>200000</v>
      </c>
      <c r="G633" s="114">
        <v>1</v>
      </c>
      <c r="H633" s="105">
        <f t="shared" si="96"/>
        <v>200000</v>
      </c>
      <c r="I633" s="223">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40.5" customHeight="1" hidden="1">
      <c r="A634" s="290"/>
      <c r="B634" s="290"/>
      <c r="C634" s="290"/>
      <c r="D634" s="279"/>
      <c r="E634" s="73" t="s">
        <v>803</v>
      </c>
      <c r="F634" s="105">
        <f t="shared" si="97"/>
        <v>0</v>
      </c>
      <c r="G634" s="114">
        <v>1</v>
      </c>
      <c r="H634" s="105">
        <f t="shared" si="96"/>
        <v>0</v>
      </c>
      <c r="I634" s="223">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3"/>
        <v>0</v>
      </c>
    </row>
    <row r="635" spans="1:25" ht="56.25">
      <c r="A635" s="290"/>
      <c r="B635" s="290"/>
      <c r="C635" s="290"/>
      <c r="D635" s="279"/>
      <c r="E635" s="73" t="s">
        <v>805</v>
      </c>
      <c r="F635" s="105">
        <f t="shared" si="97"/>
        <v>200000</v>
      </c>
      <c r="G635" s="114">
        <v>1</v>
      </c>
      <c r="H635" s="105">
        <f t="shared" si="96"/>
        <v>200000</v>
      </c>
      <c r="I635" s="223">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3"/>
        <v>180000</v>
      </c>
    </row>
    <row r="636" spans="1:25" ht="75">
      <c r="A636" s="290"/>
      <c r="B636" s="290"/>
      <c r="C636" s="290"/>
      <c r="D636" s="279"/>
      <c r="E636" s="73" t="s">
        <v>176</v>
      </c>
      <c r="F636" s="105">
        <f t="shared" si="97"/>
        <v>66000</v>
      </c>
      <c r="G636" s="114"/>
      <c r="H636" s="105">
        <f t="shared" si="96"/>
        <v>66000</v>
      </c>
      <c r="I636" s="223">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3"/>
        <v>6600</v>
      </c>
    </row>
    <row r="637" spans="1:25" ht="84" customHeight="1" hidden="1">
      <c r="A637" s="290"/>
      <c r="B637" s="290"/>
      <c r="C637" s="290"/>
      <c r="D637" s="279"/>
      <c r="E637" s="73" t="s">
        <v>440</v>
      </c>
      <c r="F637" s="105">
        <f t="shared" si="97"/>
        <v>0</v>
      </c>
      <c r="G637" s="114">
        <v>1</v>
      </c>
      <c r="H637" s="105">
        <f t="shared" si="96"/>
        <v>0</v>
      </c>
      <c r="I637" s="223">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3"/>
        <v>0</v>
      </c>
    </row>
    <row r="638" spans="1:25" ht="37.5">
      <c r="A638" s="290"/>
      <c r="B638" s="290"/>
      <c r="C638" s="290"/>
      <c r="D638" s="279"/>
      <c r="E638" s="73" t="s">
        <v>177</v>
      </c>
      <c r="F638" s="105">
        <f t="shared" si="97"/>
        <v>100000</v>
      </c>
      <c r="G638" s="114">
        <v>1</v>
      </c>
      <c r="H638" s="105">
        <f t="shared" si="96"/>
        <v>100000</v>
      </c>
      <c r="I638" s="223">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3"/>
        <v>100000</v>
      </c>
    </row>
    <row r="639" spans="1:25" ht="96.75" customHeight="1">
      <c r="A639" s="290"/>
      <c r="B639" s="290"/>
      <c r="C639" s="290"/>
      <c r="D639" s="279"/>
      <c r="E639" s="73" t="s">
        <v>1137</v>
      </c>
      <c r="F639" s="105">
        <f t="shared" si="97"/>
        <v>460000</v>
      </c>
      <c r="G639" s="114">
        <v>1</v>
      </c>
      <c r="H639" s="105">
        <f t="shared" si="96"/>
        <v>460000</v>
      </c>
      <c r="I639" s="223">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3"/>
        <v>368000</v>
      </c>
    </row>
    <row r="640" spans="1:25" ht="39" customHeight="1" hidden="1">
      <c r="A640" s="290"/>
      <c r="B640" s="290"/>
      <c r="C640" s="290"/>
      <c r="D640" s="279"/>
      <c r="E640" s="73" t="s">
        <v>870</v>
      </c>
      <c r="F640" s="105">
        <f t="shared" si="97"/>
        <v>0</v>
      </c>
      <c r="G640" s="114">
        <v>1</v>
      </c>
      <c r="H640" s="105">
        <f t="shared" si="96"/>
        <v>0</v>
      </c>
      <c r="I640" s="223">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3"/>
        <v>0</v>
      </c>
    </row>
    <row r="641" spans="1:25" ht="60" customHeight="1" hidden="1">
      <c r="A641" s="290"/>
      <c r="B641" s="290"/>
      <c r="C641" s="290"/>
      <c r="D641" s="279"/>
      <c r="E641" s="73" t="s">
        <v>371</v>
      </c>
      <c r="F641" s="105">
        <f t="shared" si="97"/>
        <v>0</v>
      </c>
      <c r="G641" s="114">
        <v>1</v>
      </c>
      <c r="H641" s="105">
        <f t="shared" si="96"/>
        <v>0</v>
      </c>
      <c r="I641" s="223">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3"/>
        <v>0</v>
      </c>
    </row>
    <row r="642" spans="1:25" ht="168.75">
      <c r="A642" s="290"/>
      <c r="B642" s="290"/>
      <c r="C642" s="290"/>
      <c r="D642" s="279"/>
      <c r="E642" s="189" t="s">
        <v>162</v>
      </c>
      <c r="F642" s="199"/>
      <c r="G642" s="200"/>
      <c r="H642" s="199"/>
      <c r="I642" s="230">
        <v>3132</v>
      </c>
      <c r="J642" s="207">
        <v>150000</v>
      </c>
      <c r="K642" s="193"/>
      <c r="L642" s="193"/>
      <c r="M642" s="193"/>
      <c r="N642" s="193"/>
      <c r="O642" s="193"/>
      <c r="P642" s="193"/>
      <c r="Q642" s="193">
        <v>150000</v>
      </c>
      <c r="R642" s="193"/>
      <c r="S642" s="193"/>
      <c r="T642" s="193"/>
      <c r="U642" s="193"/>
      <c r="V642" s="193"/>
      <c r="W642" s="29">
        <f t="shared" si="98"/>
        <v>0</v>
      </c>
      <c r="X642" s="29"/>
      <c r="Y642" s="29">
        <f t="shared" si="93"/>
        <v>150000</v>
      </c>
    </row>
    <row r="643" spans="1:25" ht="168.75">
      <c r="A643" s="290"/>
      <c r="B643" s="290"/>
      <c r="C643" s="290"/>
      <c r="D643" s="279"/>
      <c r="E643" s="189" t="s">
        <v>493</v>
      </c>
      <c r="F643" s="199"/>
      <c r="G643" s="200"/>
      <c r="H643" s="199"/>
      <c r="I643" s="230">
        <v>3132</v>
      </c>
      <c r="J643" s="207">
        <v>150000</v>
      </c>
      <c r="K643" s="193"/>
      <c r="L643" s="193"/>
      <c r="M643" s="193"/>
      <c r="N643" s="193"/>
      <c r="O643" s="193"/>
      <c r="P643" s="193"/>
      <c r="Q643" s="193">
        <v>150000</v>
      </c>
      <c r="R643" s="193"/>
      <c r="S643" s="193"/>
      <c r="T643" s="193"/>
      <c r="U643" s="193"/>
      <c r="V643" s="193"/>
      <c r="W643" s="29">
        <f t="shared" si="98"/>
        <v>0</v>
      </c>
      <c r="X643" s="29"/>
      <c r="Y643" s="29">
        <f t="shared" si="93"/>
        <v>150000</v>
      </c>
    </row>
    <row r="644" spans="1:25" ht="60" customHeight="1">
      <c r="A644" s="290"/>
      <c r="B644" s="290"/>
      <c r="C644" s="290"/>
      <c r="D644" s="279"/>
      <c r="E644" s="73" t="s">
        <v>15</v>
      </c>
      <c r="F644" s="105"/>
      <c r="G644" s="114"/>
      <c r="H644" s="105"/>
      <c r="I644" s="223">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f>16655.74</f>
        <v>16655.74</v>
      </c>
      <c r="Y644" s="29">
        <f t="shared" si="93"/>
        <v>215344.26</v>
      </c>
    </row>
    <row r="645" spans="1:25" ht="75">
      <c r="A645" s="290"/>
      <c r="B645" s="290"/>
      <c r="C645" s="290"/>
      <c r="D645" s="279"/>
      <c r="E645" s="73" t="s">
        <v>1074</v>
      </c>
      <c r="F645" s="105">
        <f t="shared" si="97"/>
        <v>220000</v>
      </c>
      <c r="G645" s="114">
        <v>1</v>
      </c>
      <c r="H645" s="105">
        <f t="shared" si="96"/>
        <v>220000</v>
      </c>
      <c r="I645" s="223">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3"/>
        <v>220000</v>
      </c>
    </row>
    <row r="646" spans="1:25" ht="60" customHeight="1">
      <c r="A646" s="290"/>
      <c r="B646" s="290"/>
      <c r="C646" s="290"/>
      <c r="D646" s="279"/>
      <c r="E646" s="73" t="s">
        <v>1015</v>
      </c>
      <c r="F646" s="105">
        <f t="shared" si="97"/>
        <v>127000</v>
      </c>
      <c r="G646" s="114">
        <v>1</v>
      </c>
      <c r="H646" s="105">
        <f t="shared" si="96"/>
        <v>127000</v>
      </c>
      <c r="I646" s="223">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aca="true" t="shared" si="99" ref="Y646:Y709">K646+L646+M646+N646+O646+P646+Q646+R646-X646</f>
        <v>127000</v>
      </c>
    </row>
    <row r="647" spans="1:25" ht="112.5">
      <c r="A647" s="290"/>
      <c r="B647" s="290"/>
      <c r="C647" s="290"/>
      <c r="D647" s="279"/>
      <c r="E647" s="73" t="s">
        <v>410</v>
      </c>
      <c r="F647" s="105">
        <f t="shared" si="97"/>
        <v>240000</v>
      </c>
      <c r="G647" s="114">
        <v>1</v>
      </c>
      <c r="H647" s="105">
        <f t="shared" si="96"/>
        <v>240000</v>
      </c>
      <c r="I647" s="223">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9"/>
        <v>240000</v>
      </c>
    </row>
    <row r="648" spans="1:25" ht="64.5" customHeight="1">
      <c r="A648" s="290"/>
      <c r="B648" s="290"/>
      <c r="C648" s="290"/>
      <c r="D648" s="279"/>
      <c r="E648" s="73" t="s">
        <v>861</v>
      </c>
      <c r="F648" s="105">
        <f t="shared" si="97"/>
        <v>1650000</v>
      </c>
      <c r="G648" s="114">
        <v>1</v>
      </c>
      <c r="H648" s="105">
        <f t="shared" si="96"/>
        <v>1650000</v>
      </c>
      <c r="I648" s="223">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9"/>
        <v>1186.7900000000373</v>
      </c>
    </row>
    <row r="649" spans="1:25" ht="59.25" customHeight="1">
      <c r="A649" s="290"/>
      <c r="B649" s="290"/>
      <c r="C649" s="290"/>
      <c r="D649" s="279"/>
      <c r="E649" s="73" t="s">
        <v>1016</v>
      </c>
      <c r="F649" s="105">
        <f t="shared" si="97"/>
        <v>480000</v>
      </c>
      <c r="G649" s="114">
        <v>1</v>
      </c>
      <c r="H649" s="105">
        <f t="shared" si="96"/>
        <v>480000</v>
      </c>
      <c r="I649" s="223">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9"/>
        <v>480000</v>
      </c>
    </row>
    <row r="650" spans="1:25" ht="93.75">
      <c r="A650" s="290"/>
      <c r="B650" s="290"/>
      <c r="C650" s="290"/>
      <c r="D650" s="279"/>
      <c r="E650" s="73" t="s">
        <v>541</v>
      </c>
      <c r="F650" s="105">
        <f t="shared" si="97"/>
        <v>444000</v>
      </c>
      <c r="G650" s="114">
        <v>1</v>
      </c>
      <c r="H650" s="105">
        <f t="shared" si="96"/>
        <v>444000</v>
      </c>
      <c r="I650" s="223">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f>35460.63+10503.8</f>
        <v>45964.42999999999</v>
      </c>
      <c r="Y650" s="29">
        <f t="shared" si="99"/>
        <v>348035.57</v>
      </c>
    </row>
    <row r="651" spans="1:25" ht="54" hidden="1">
      <c r="A651" s="290"/>
      <c r="B651" s="290"/>
      <c r="C651" s="290"/>
      <c r="D651" s="279"/>
      <c r="E651" s="73" t="s">
        <v>1017</v>
      </c>
      <c r="F651" s="105">
        <f t="shared" si="97"/>
        <v>0</v>
      </c>
      <c r="G651" s="114">
        <v>1</v>
      </c>
      <c r="H651" s="105">
        <f t="shared" si="96"/>
        <v>0</v>
      </c>
      <c r="I651" s="223">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9"/>
        <v>0</v>
      </c>
    </row>
    <row r="652" spans="1:25" ht="54" hidden="1">
      <c r="A652" s="290"/>
      <c r="B652" s="290"/>
      <c r="C652" s="290"/>
      <c r="D652" s="279"/>
      <c r="E652" s="73" t="s">
        <v>13</v>
      </c>
      <c r="F652" s="105"/>
      <c r="G652" s="114"/>
      <c r="H652" s="105"/>
      <c r="I652" s="223">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9"/>
        <v>0</v>
      </c>
    </row>
    <row r="653" spans="1:25" ht="75">
      <c r="A653" s="290"/>
      <c r="B653" s="290"/>
      <c r="C653" s="290"/>
      <c r="D653" s="279"/>
      <c r="E653" s="73" t="s">
        <v>875</v>
      </c>
      <c r="F653" s="105">
        <f t="shared" si="97"/>
        <v>116000</v>
      </c>
      <c r="G653" s="114">
        <v>1</v>
      </c>
      <c r="H653" s="105">
        <f t="shared" si="96"/>
        <v>116000</v>
      </c>
      <c r="I653" s="223">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9"/>
        <v>0</v>
      </c>
    </row>
    <row r="654" spans="1:25" ht="63" customHeight="1">
      <c r="A654" s="290"/>
      <c r="B654" s="290"/>
      <c r="C654" s="290"/>
      <c r="D654" s="279"/>
      <c r="E654" s="73" t="s">
        <v>1072</v>
      </c>
      <c r="F654" s="105">
        <f t="shared" si="97"/>
        <v>116000</v>
      </c>
      <c r="G654" s="114">
        <v>1</v>
      </c>
      <c r="H654" s="105">
        <f t="shared" si="96"/>
        <v>116000</v>
      </c>
      <c r="I654" s="223">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9"/>
        <v>116000</v>
      </c>
    </row>
    <row r="655" spans="1:25" ht="56.25">
      <c r="A655" s="290"/>
      <c r="B655" s="290"/>
      <c r="C655" s="290"/>
      <c r="D655" s="279"/>
      <c r="E655" s="73" t="s">
        <v>127</v>
      </c>
      <c r="F655" s="105">
        <f t="shared" si="97"/>
        <v>50000</v>
      </c>
      <c r="G655" s="114">
        <v>1</v>
      </c>
      <c r="H655" s="105">
        <f t="shared" si="96"/>
        <v>50000</v>
      </c>
      <c r="I655" s="223">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9"/>
        <v>0</v>
      </c>
    </row>
    <row r="656" spans="1:25" ht="64.5" customHeight="1">
      <c r="A656" s="290"/>
      <c r="B656" s="290"/>
      <c r="C656" s="290"/>
      <c r="D656" s="279"/>
      <c r="E656" s="73" t="s">
        <v>1021</v>
      </c>
      <c r="F656" s="105">
        <f t="shared" si="97"/>
        <v>116000</v>
      </c>
      <c r="G656" s="114">
        <v>1</v>
      </c>
      <c r="H656" s="105">
        <f t="shared" si="96"/>
        <v>116000</v>
      </c>
      <c r="I656" s="223">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9"/>
        <v>0</v>
      </c>
    </row>
    <row r="657" spans="1:25" ht="62.25" customHeight="1">
      <c r="A657" s="290"/>
      <c r="B657" s="290"/>
      <c r="C657" s="290"/>
      <c r="D657" s="279"/>
      <c r="E657" s="73" t="s">
        <v>981</v>
      </c>
      <c r="F657" s="105">
        <f t="shared" si="97"/>
        <v>263000</v>
      </c>
      <c r="G657" s="114">
        <v>1</v>
      </c>
      <c r="H657" s="105">
        <f t="shared" si="96"/>
        <v>263000</v>
      </c>
      <c r="I657" s="223">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9"/>
        <v>0</v>
      </c>
    </row>
    <row r="658" spans="1:25" ht="56.25">
      <c r="A658" s="290"/>
      <c r="B658" s="290"/>
      <c r="C658" s="290"/>
      <c r="D658" s="279"/>
      <c r="E658" s="73" t="s">
        <v>10</v>
      </c>
      <c r="F658" s="105">
        <f t="shared" si="97"/>
        <v>118000</v>
      </c>
      <c r="G658" s="114">
        <v>1</v>
      </c>
      <c r="H658" s="105">
        <f t="shared" si="96"/>
        <v>118000</v>
      </c>
      <c r="I658" s="223">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9"/>
        <v>0</v>
      </c>
    </row>
    <row r="659" spans="1:25" ht="63" customHeight="1">
      <c r="A659" s="290"/>
      <c r="B659" s="290"/>
      <c r="C659" s="290"/>
      <c r="D659" s="279"/>
      <c r="E659" s="73" t="s">
        <v>1071</v>
      </c>
      <c r="F659" s="105">
        <f t="shared" si="97"/>
        <v>232000</v>
      </c>
      <c r="G659" s="114">
        <v>1</v>
      </c>
      <c r="H659" s="105">
        <f t="shared" si="96"/>
        <v>232000</v>
      </c>
      <c r="I659" s="223">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9"/>
        <v>232000</v>
      </c>
    </row>
    <row r="660" spans="1:25" ht="54" hidden="1">
      <c r="A660" s="290"/>
      <c r="B660" s="290"/>
      <c r="C660" s="290"/>
      <c r="D660" s="279"/>
      <c r="E660" s="73" t="s">
        <v>409</v>
      </c>
      <c r="F660" s="105">
        <f t="shared" si="97"/>
        <v>0</v>
      </c>
      <c r="G660" s="114">
        <v>1</v>
      </c>
      <c r="H660" s="105">
        <f t="shared" si="96"/>
        <v>0</v>
      </c>
      <c r="I660" s="223">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9"/>
        <v>0</v>
      </c>
    </row>
    <row r="661" spans="1:25" ht="56.25">
      <c r="A661" s="290"/>
      <c r="B661" s="290"/>
      <c r="C661" s="290"/>
      <c r="D661" s="279"/>
      <c r="E661" s="73" t="s">
        <v>408</v>
      </c>
      <c r="F661" s="105">
        <f t="shared" si="97"/>
        <v>150000</v>
      </c>
      <c r="G661" s="114">
        <v>1</v>
      </c>
      <c r="H661" s="105">
        <f t="shared" si="96"/>
        <v>150000</v>
      </c>
      <c r="I661" s="223">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f>13838.39</f>
        <v>13838.39</v>
      </c>
      <c r="Y661" s="29">
        <f t="shared" si="99"/>
        <v>136161.61</v>
      </c>
    </row>
    <row r="662" spans="1:25" ht="63" customHeight="1">
      <c r="A662" s="290"/>
      <c r="B662" s="290"/>
      <c r="C662" s="290"/>
      <c r="D662" s="279"/>
      <c r="E662" s="73" t="s">
        <v>983</v>
      </c>
      <c r="F662" s="105">
        <f t="shared" si="97"/>
        <v>350000</v>
      </c>
      <c r="G662" s="114">
        <v>1</v>
      </c>
      <c r="H662" s="105">
        <f t="shared" si="96"/>
        <v>350000</v>
      </c>
      <c r="I662" s="223">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9"/>
        <v>0</v>
      </c>
    </row>
    <row r="663" spans="1:25" ht="75">
      <c r="A663" s="290"/>
      <c r="B663" s="290"/>
      <c r="C663" s="290"/>
      <c r="D663" s="279"/>
      <c r="E663" s="73" t="s">
        <v>1084</v>
      </c>
      <c r="F663" s="105">
        <f t="shared" si="97"/>
        <v>130000</v>
      </c>
      <c r="G663" s="114">
        <v>1</v>
      </c>
      <c r="H663" s="105">
        <f t="shared" si="96"/>
        <v>130000</v>
      </c>
      <c r="I663" s="223">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9"/>
        <v>130000</v>
      </c>
    </row>
    <row r="664" spans="1:25" ht="56.25">
      <c r="A664" s="290"/>
      <c r="B664" s="290"/>
      <c r="C664" s="290"/>
      <c r="D664" s="279"/>
      <c r="E664" s="73" t="s">
        <v>980</v>
      </c>
      <c r="F664" s="105">
        <f t="shared" si="97"/>
        <v>133000</v>
      </c>
      <c r="G664" s="114">
        <v>1</v>
      </c>
      <c r="H664" s="105">
        <f t="shared" si="96"/>
        <v>133000</v>
      </c>
      <c r="I664" s="223">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9"/>
        <v>133000</v>
      </c>
    </row>
    <row r="665" spans="1:25" ht="75">
      <c r="A665" s="290"/>
      <c r="B665" s="290"/>
      <c r="C665" s="290"/>
      <c r="D665" s="279"/>
      <c r="E665" s="73" t="s">
        <v>411</v>
      </c>
      <c r="F665" s="105">
        <f t="shared" si="97"/>
        <v>133000</v>
      </c>
      <c r="G665" s="114">
        <v>1</v>
      </c>
      <c r="H665" s="105">
        <f t="shared" si="96"/>
        <v>133000</v>
      </c>
      <c r="I665" s="223">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9"/>
        <v>0</v>
      </c>
    </row>
    <row r="666" spans="1:25" ht="79.5" customHeight="1">
      <c r="A666" s="290"/>
      <c r="B666" s="290"/>
      <c r="C666" s="290"/>
      <c r="D666" s="279"/>
      <c r="E666" s="73" t="s">
        <v>982</v>
      </c>
      <c r="F666" s="105">
        <f t="shared" si="97"/>
        <v>116000</v>
      </c>
      <c r="G666" s="114">
        <v>1</v>
      </c>
      <c r="H666" s="105">
        <f t="shared" si="96"/>
        <v>116000</v>
      </c>
      <c r="I666" s="223">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9"/>
        <v>0</v>
      </c>
    </row>
    <row r="667" spans="1:25" ht="64.5" customHeight="1">
      <c r="A667" s="290"/>
      <c r="B667" s="290"/>
      <c r="C667" s="290"/>
      <c r="D667" s="279"/>
      <c r="E667" s="73" t="s">
        <v>370</v>
      </c>
      <c r="F667" s="105">
        <f t="shared" si="97"/>
        <v>180000</v>
      </c>
      <c r="G667" s="114">
        <v>1</v>
      </c>
      <c r="H667" s="105">
        <f t="shared" si="96"/>
        <v>180000</v>
      </c>
      <c r="I667" s="223">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9"/>
        <v>0</v>
      </c>
    </row>
    <row r="668" spans="1:25" ht="48" customHeight="1">
      <c r="A668" s="290"/>
      <c r="B668" s="290"/>
      <c r="C668" s="290"/>
      <c r="D668" s="279"/>
      <c r="E668" s="73" t="s">
        <v>372</v>
      </c>
      <c r="F668" s="105">
        <f t="shared" si="97"/>
        <v>106000</v>
      </c>
      <c r="G668" s="114">
        <v>1</v>
      </c>
      <c r="H668" s="105">
        <f t="shared" si="96"/>
        <v>106000</v>
      </c>
      <c r="I668" s="223">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t="shared" si="99"/>
        <v>0</v>
      </c>
    </row>
    <row r="669" spans="1:25" ht="36" hidden="1">
      <c r="A669" s="290"/>
      <c r="B669" s="290"/>
      <c r="C669" s="290"/>
      <c r="D669" s="279"/>
      <c r="E669" s="73" t="s">
        <v>126</v>
      </c>
      <c r="F669" s="105">
        <f t="shared" si="97"/>
        <v>0</v>
      </c>
      <c r="G669" s="114">
        <v>1</v>
      </c>
      <c r="H669" s="105">
        <f t="shared" si="96"/>
        <v>0</v>
      </c>
      <c r="I669" s="223">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290"/>
      <c r="B670" s="290"/>
      <c r="C670" s="290"/>
      <c r="D670" s="279"/>
      <c r="E670" s="73" t="s">
        <v>984</v>
      </c>
      <c r="F670" s="105">
        <f t="shared" si="97"/>
        <v>0</v>
      </c>
      <c r="G670" s="114">
        <v>1</v>
      </c>
      <c r="H670" s="105">
        <f t="shared" si="96"/>
        <v>0</v>
      </c>
      <c r="I670" s="223">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290"/>
      <c r="B671" s="290"/>
      <c r="C671" s="290"/>
      <c r="D671" s="279"/>
      <c r="E671" s="73" t="s">
        <v>1019</v>
      </c>
      <c r="F671" s="105">
        <f t="shared" si="97"/>
        <v>232000</v>
      </c>
      <c r="G671" s="114">
        <v>1</v>
      </c>
      <c r="H671" s="105">
        <f aca="true" t="shared" si="100" ref="H671:H727">J671</f>
        <v>232000</v>
      </c>
      <c r="I671" s="223">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290"/>
      <c r="B672" s="290"/>
      <c r="C672" s="290"/>
      <c r="D672" s="279"/>
      <c r="E672" s="73" t="s">
        <v>1073</v>
      </c>
      <c r="F672" s="105">
        <f aca="true" t="shared" si="101" ref="F672:F727">J672</f>
        <v>603000</v>
      </c>
      <c r="G672" s="114">
        <v>1</v>
      </c>
      <c r="H672" s="105">
        <f t="shared" si="100"/>
        <v>603000</v>
      </c>
      <c r="I672" s="223">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461295</v>
      </c>
    </row>
    <row r="673" spans="1:25" ht="60.75" customHeight="1">
      <c r="A673" s="290"/>
      <c r="B673" s="290"/>
      <c r="C673" s="290"/>
      <c r="D673" s="279"/>
      <c r="E673" s="73" t="s">
        <v>1018</v>
      </c>
      <c r="F673" s="105">
        <f t="shared" si="101"/>
        <v>311000</v>
      </c>
      <c r="G673" s="114">
        <v>1</v>
      </c>
      <c r="H673" s="105">
        <f t="shared" si="100"/>
        <v>311000</v>
      </c>
      <c r="I673" s="223">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237915</v>
      </c>
    </row>
    <row r="674" spans="1:25" ht="156.75" customHeight="1">
      <c r="A674" s="290"/>
      <c r="B674" s="290"/>
      <c r="C674" s="290"/>
      <c r="D674" s="279"/>
      <c r="E674" s="189" t="s">
        <v>399</v>
      </c>
      <c r="F674" s="199">
        <f t="shared" si="101"/>
        <v>450000</v>
      </c>
      <c r="G674" s="200">
        <v>1</v>
      </c>
      <c r="H674" s="199">
        <f t="shared" si="100"/>
        <v>450000</v>
      </c>
      <c r="I674" s="230">
        <v>3132</v>
      </c>
      <c r="J674" s="207">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290"/>
      <c r="B675" s="290"/>
      <c r="C675" s="290"/>
      <c r="D675" s="279"/>
      <c r="E675" s="73" t="s">
        <v>1020</v>
      </c>
      <c r="F675" s="105">
        <f t="shared" si="101"/>
        <v>0</v>
      </c>
      <c r="G675" s="114">
        <v>1</v>
      </c>
      <c r="H675" s="105">
        <f t="shared" si="100"/>
        <v>0</v>
      </c>
      <c r="I675" s="223">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290"/>
      <c r="B676" s="290"/>
      <c r="C676" s="290"/>
      <c r="D676" s="279"/>
      <c r="E676" s="73" t="s">
        <v>407</v>
      </c>
      <c r="F676" s="105">
        <f t="shared" si="101"/>
        <v>0</v>
      </c>
      <c r="G676" s="114">
        <v>1</v>
      </c>
      <c r="H676" s="105">
        <f t="shared" si="100"/>
        <v>0</v>
      </c>
      <c r="I676" s="223">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290"/>
      <c r="B677" s="290"/>
      <c r="C677" s="290"/>
      <c r="D677" s="279"/>
      <c r="E677" s="189" t="s">
        <v>398</v>
      </c>
      <c r="F677" s="199">
        <f t="shared" si="101"/>
        <v>240000</v>
      </c>
      <c r="G677" s="200">
        <v>1</v>
      </c>
      <c r="H677" s="199">
        <f t="shared" si="100"/>
        <v>240000</v>
      </c>
      <c r="I677" s="230">
        <v>3132</v>
      </c>
      <c r="J677" s="207">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290"/>
      <c r="B678" s="290"/>
      <c r="C678" s="290"/>
      <c r="D678" s="279"/>
      <c r="E678" s="73" t="s">
        <v>1022</v>
      </c>
      <c r="F678" s="105">
        <f t="shared" si="101"/>
        <v>580000</v>
      </c>
      <c r="G678" s="114">
        <v>1</v>
      </c>
      <c r="H678" s="105">
        <f t="shared" si="100"/>
        <v>580000</v>
      </c>
      <c r="I678" s="223">
        <v>3132</v>
      </c>
      <c r="J678" s="54">
        <v>580000</v>
      </c>
      <c r="K678" s="182"/>
      <c r="L678" s="182"/>
      <c r="M678" s="182">
        <v>58000</v>
      </c>
      <c r="N678" s="182"/>
      <c r="O678" s="182">
        <v>-58000</v>
      </c>
      <c r="P678" s="182"/>
      <c r="Q678" s="182"/>
      <c r="R678" s="182"/>
      <c r="S678" s="182">
        <f>406000-406000</f>
        <v>0</v>
      </c>
      <c r="T678" s="182">
        <f>406000</f>
        <v>406000</v>
      </c>
      <c r="U678" s="182">
        <f>116000+58000</f>
        <v>174000</v>
      </c>
      <c r="V678" s="182"/>
      <c r="W678" s="29">
        <f t="shared" si="98"/>
        <v>0</v>
      </c>
      <c r="X678" s="29"/>
      <c r="Y678" s="29">
        <f t="shared" si="99"/>
        <v>0</v>
      </c>
    </row>
    <row r="679" spans="1:25" ht="81.75" customHeight="1">
      <c r="A679" s="290"/>
      <c r="B679" s="290"/>
      <c r="C679" s="290"/>
      <c r="D679" s="279"/>
      <c r="E679" s="73" t="s">
        <v>1081</v>
      </c>
      <c r="F679" s="105">
        <f t="shared" si="101"/>
        <v>133000</v>
      </c>
      <c r="G679" s="114">
        <v>1</v>
      </c>
      <c r="H679" s="105">
        <f t="shared" si="100"/>
        <v>133000</v>
      </c>
      <c r="I679" s="223">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290"/>
      <c r="B680" s="290"/>
      <c r="C680" s="290"/>
      <c r="D680" s="279"/>
      <c r="E680" s="73" t="s">
        <v>413</v>
      </c>
      <c r="F680" s="105">
        <f t="shared" si="101"/>
        <v>133000</v>
      </c>
      <c r="G680" s="114">
        <v>1</v>
      </c>
      <c r="H680" s="105">
        <f t="shared" si="100"/>
        <v>133000</v>
      </c>
      <c r="I680" s="223">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290"/>
      <c r="B681" s="290"/>
      <c r="C681" s="290"/>
      <c r="D681" s="279"/>
      <c r="E681" s="73" t="s">
        <v>100</v>
      </c>
      <c r="F681" s="105">
        <f t="shared" si="101"/>
        <v>232000</v>
      </c>
      <c r="G681" s="114">
        <v>1</v>
      </c>
      <c r="H681" s="105">
        <f t="shared" si="100"/>
        <v>232000</v>
      </c>
      <c r="I681" s="223">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290"/>
      <c r="B682" s="290"/>
      <c r="C682" s="290"/>
      <c r="D682" s="279"/>
      <c r="E682" s="73" t="s">
        <v>979</v>
      </c>
      <c r="F682" s="105">
        <f t="shared" si="101"/>
        <v>133000</v>
      </c>
      <c r="G682" s="114">
        <v>1</v>
      </c>
      <c r="H682" s="105">
        <f t="shared" si="100"/>
        <v>133000</v>
      </c>
      <c r="I682" s="223">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290"/>
      <c r="B683" s="290"/>
      <c r="C683" s="290"/>
      <c r="D683" s="279"/>
      <c r="E683" s="73" t="s">
        <v>252</v>
      </c>
      <c r="F683" s="105">
        <f t="shared" si="101"/>
        <v>615100</v>
      </c>
      <c r="G683" s="114">
        <v>1</v>
      </c>
      <c r="H683" s="105">
        <f t="shared" si="100"/>
        <v>615100</v>
      </c>
      <c r="I683" s="223">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290"/>
      <c r="B684" s="290"/>
      <c r="C684" s="290"/>
      <c r="D684" s="279"/>
      <c r="E684" s="73" t="s">
        <v>412</v>
      </c>
      <c r="F684" s="105">
        <f t="shared" si="101"/>
        <v>979000</v>
      </c>
      <c r="G684" s="114">
        <v>1</v>
      </c>
      <c r="H684" s="105">
        <f t="shared" si="100"/>
        <v>979000</v>
      </c>
      <c r="I684" s="223">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290"/>
      <c r="B685" s="290"/>
      <c r="C685" s="290"/>
      <c r="D685" s="279"/>
      <c r="E685" s="73" t="s">
        <v>436</v>
      </c>
      <c r="F685" s="105">
        <f t="shared" si="101"/>
        <v>493000</v>
      </c>
      <c r="G685" s="114">
        <v>1</v>
      </c>
      <c r="H685" s="105">
        <f t="shared" si="100"/>
        <v>493000</v>
      </c>
      <c r="I685" s="223">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290"/>
      <c r="B686" s="290"/>
      <c r="C686" s="290"/>
      <c r="D686" s="279"/>
      <c r="E686" s="189" t="s">
        <v>414</v>
      </c>
      <c r="F686" s="199">
        <f t="shared" si="101"/>
        <v>134745</v>
      </c>
      <c r="G686" s="200">
        <v>1</v>
      </c>
      <c r="H686" s="199">
        <f t="shared" si="100"/>
        <v>134745</v>
      </c>
      <c r="I686" s="230">
        <v>3132</v>
      </c>
      <c r="J686" s="207">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290"/>
      <c r="B687" s="290"/>
      <c r="C687" s="290"/>
      <c r="D687" s="279"/>
      <c r="E687" s="73" t="s">
        <v>319</v>
      </c>
      <c r="F687" s="105">
        <f t="shared" si="101"/>
        <v>2516000</v>
      </c>
      <c r="G687" s="114">
        <v>1</v>
      </c>
      <c r="H687" s="105">
        <f t="shared" si="100"/>
        <v>2516000</v>
      </c>
      <c r="I687" s="223">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290"/>
      <c r="B688" s="290"/>
      <c r="C688" s="290"/>
      <c r="D688" s="279"/>
      <c r="E688" s="73" t="s">
        <v>365</v>
      </c>
      <c r="F688" s="105">
        <f t="shared" si="101"/>
        <v>2034000</v>
      </c>
      <c r="G688" s="114">
        <v>1</v>
      </c>
      <c r="H688" s="105">
        <f t="shared" si="100"/>
        <v>2034000</v>
      </c>
      <c r="I688" s="223">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290"/>
      <c r="B689" s="290"/>
      <c r="C689" s="290"/>
      <c r="D689" s="279"/>
      <c r="E689" s="73" t="s">
        <v>367</v>
      </c>
      <c r="F689" s="105">
        <f t="shared" si="101"/>
        <v>3403763</v>
      </c>
      <c r="G689" s="114">
        <v>1</v>
      </c>
      <c r="H689" s="105">
        <f t="shared" si="100"/>
        <v>3403763</v>
      </c>
      <c r="I689" s="223">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290"/>
      <c r="B690" s="290"/>
      <c r="C690" s="290"/>
      <c r="D690" s="279"/>
      <c r="E690" s="73" t="s">
        <v>14</v>
      </c>
      <c r="F690" s="105">
        <f t="shared" si="101"/>
        <v>1579484.39</v>
      </c>
      <c r="G690" s="114">
        <v>1</v>
      </c>
      <c r="H690" s="105">
        <f t="shared" si="100"/>
        <v>1579484.39</v>
      </c>
      <c r="I690" s="223">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290"/>
      <c r="B691" s="290"/>
      <c r="C691" s="290"/>
      <c r="D691" s="279"/>
      <c r="E691" s="73" t="s">
        <v>363</v>
      </c>
      <c r="F691" s="105">
        <f t="shared" si="101"/>
        <v>367000</v>
      </c>
      <c r="G691" s="114">
        <v>1</v>
      </c>
      <c r="H691" s="105">
        <f t="shared" si="100"/>
        <v>367000</v>
      </c>
      <c r="I691" s="223">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290"/>
      <c r="B692" s="290"/>
      <c r="C692" s="290"/>
      <c r="D692" s="279"/>
      <c r="E692" s="73" t="s">
        <v>11</v>
      </c>
      <c r="F692" s="105">
        <f t="shared" si="101"/>
        <v>837000</v>
      </c>
      <c r="G692" s="114">
        <v>1</v>
      </c>
      <c r="H692" s="105">
        <f t="shared" si="100"/>
        <v>837000</v>
      </c>
      <c r="I692" s="223">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21000+23000+763798.77+11597.8</f>
        <v>819396.5700000001</v>
      </c>
      <c r="Y692" s="29">
        <f t="shared" si="99"/>
        <v>17603.429999999935</v>
      </c>
    </row>
    <row r="693" spans="1:25" ht="55.5" customHeight="1">
      <c r="A693" s="290"/>
      <c r="B693" s="290"/>
      <c r="C693" s="290"/>
      <c r="D693" s="279"/>
      <c r="E693" s="73" t="s">
        <v>364</v>
      </c>
      <c r="F693" s="105">
        <f t="shared" si="101"/>
        <v>300000</v>
      </c>
      <c r="G693" s="114">
        <v>1</v>
      </c>
      <c r="H693" s="105">
        <f t="shared" si="100"/>
        <v>300000</v>
      </c>
      <c r="I693" s="223">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290"/>
      <c r="B694" s="290"/>
      <c r="C694" s="290"/>
      <c r="D694" s="279"/>
      <c r="E694" s="189" t="s">
        <v>326</v>
      </c>
      <c r="F694" s="199">
        <f t="shared" si="101"/>
        <v>70000</v>
      </c>
      <c r="G694" s="200">
        <v>1</v>
      </c>
      <c r="H694" s="199">
        <f t="shared" si="100"/>
        <v>70000</v>
      </c>
      <c r="I694" s="230">
        <v>3132</v>
      </c>
      <c r="J694" s="207">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290"/>
      <c r="B695" s="290"/>
      <c r="C695" s="290"/>
      <c r="D695" s="279"/>
      <c r="E695" s="73" t="s">
        <v>865</v>
      </c>
      <c r="F695" s="105">
        <f t="shared" si="101"/>
        <v>918900</v>
      </c>
      <c r="G695" s="114">
        <v>1</v>
      </c>
      <c r="H695" s="105">
        <f t="shared" si="100"/>
        <v>918900</v>
      </c>
      <c r="I695" s="223">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290"/>
      <c r="B696" s="290"/>
      <c r="C696" s="290"/>
      <c r="D696" s="279"/>
      <c r="E696" s="73" t="s">
        <v>368</v>
      </c>
      <c r="F696" s="105">
        <f t="shared" si="101"/>
        <v>1409500</v>
      </c>
      <c r="G696" s="114">
        <v>1</v>
      </c>
      <c r="H696" s="105">
        <f t="shared" si="100"/>
        <v>1409500</v>
      </c>
      <c r="I696" s="223">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290"/>
      <c r="B697" s="290"/>
      <c r="C697" s="290"/>
      <c r="D697" s="279"/>
      <c r="E697" s="73" t="s">
        <v>314</v>
      </c>
      <c r="F697" s="105">
        <f t="shared" si="101"/>
        <v>6345598</v>
      </c>
      <c r="G697" s="114">
        <v>1</v>
      </c>
      <c r="H697" s="105">
        <f t="shared" si="100"/>
        <v>6345598</v>
      </c>
      <c r="I697" s="223">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1339880+284982.79+729917+12975.28+802117+33772+1104914+333262+432700+1042.77+750.67</f>
        <v>5076313.51</v>
      </c>
      <c r="Y697" s="29">
        <f t="shared" si="99"/>
        <v>378352.4900000002</v>
      </c>
    </row>
    <row r="698" spans="1:25" ht="37.5">
      <c r="A698" s="290"/>
      <c r="B698" s="290"/>
      <c r="C698" s="290"/>
      <c r="D698" s="279"/>
      <c r="E698" s="73" t="s">
        <v>312</v>
      </c>
      <c r="F698" s="105">
        <f t="shared" si="101"/>
        <v>5206455</v>
      </c>
      <c r="G698" s="114">
        <v>1</v>
      </c>
      <c r="H698" s="105">
        <f t="shared" si="100"/>
        <v>5206455</v>
      </c>
      <c r="I698" s="223">
        <v>3132</v>
      </c>
      <c r="J698" s="54">
        <v>5206455</v>
      </c>
      <c r="K698" s="182"/>
      <c r="L698" s="182"/>
      <c r="M698" s="182">
        <v>2550000</v>
      </c>
      <c r="N698" s="182"/>
      <c r="O698" s="182">
        <v>2656455</v>
      </c>
      <c r="P698" s="182"/>
      <c r="Q698" s="182"/>
      <c r="R698" s="182"/>
      <c r="S698" s="182"/>
      <c r="T698" s="182"/>
      <c r="U698" s="182"/>
      <c r="V698" s="182"/>
      <c r="W698" s="29">
        <f t="shared" si="102"/>
        <v>0</v>
      </c>
      <c r="X698" s="29">
        <f>2533359+1399329+550855.11+10835.8+27896.98+8030.76</f>
        <v>4530306.65</v>
      </c>
      <c r="Y698" s="29">
        <f t="shared" si="99"/>
        <v>676148.3499999996</v>
      </c>
    </row>
    <row r="699" spans="1:25" ht="37.5">
      <c r="A699" s="290"/>
      <c r="B699" s="290"/>
      <c r="C699" s="290"/>
      <c r="D699" s="279"/>
      <c r="E699" s="73" t="s">
        <v>951</v>
      </c>
      <c r="F699" s="105">
        <f t="shared" si="101"/>
        <v>4678629</v>
      </c>
      <c r="G699" s="114">
        <v>1</v>
      </c>
      <c r="H699" s="105">
        <f t="shared" si="100"/>
        <v>4678629</v>
      </c>
      <c r="I699" s="223">
        <v>3132</v>
      </c>
      <c r="J699" s="54">
        <v>4678629</v>
      </c>
      <c r="K699" s="182"/>
      <c r="L699" s="182"/>
      <c r="M699" s="182"/>
      <c r="N699" s="182"/>
      <c r="O699" s="182"/>
      <c r="P699" s="182"/>
      <c r="Q699" s="182">
        <f>1790000-1790000</f>
        <v>0</v>
      </c>
      <c r="R699" s="182">
        <f>2300000</f>
        <v>2300000</v>
      </c>
      <c r="S699" s="182">
        <v>250000</v>
      </c>
      <c r="T699" s="182">
        <f>2378629-2300000</f>
        <v>78629</v>
      </c>
      <c r="U699" s="182"/>
      <c r="V699" s="182">
        <f>260000+1790000</f>
        <v>2050000</v>
      </c>
      <c r="W699" s="29">
        <f t="shared" si="102"/>
        <v>0</v>
      </c>
      <c r="X699" s="29">
        <f>2293500</f>
        <v>2293500</v>
      </c>
      <c r="Y699" s="29">
        <f t="shared" si="99"/>
        <v>6500</v>
      </c>
    </row>
    <row r="700" spans="1:25" ht="41.25" customHeight="1">
      <c r="A700" s="290"/>
      <c r="B700" s="290"/>
      <c r="C700" s="290"/>
      <c r="D700" s="279"/>
      <c r="E700" s="73" t="s">
        <v>159</v>
      </c>
      <c r="F700" s="105">
        <f t="shared" si="101"/>
        <v>443000</v>
      </c>
      <c r="G700" s="114">
        <v>1</v>
      </c>
      <c r="H700" s="105">
        <f t="shared" si="100"/>
        <v>443000</v>
      </c>
      <c r="I700" s="223">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290"/>
      <c r="B701" s="290"/>
      <c r="C701" s="290"/>
      <c r="D701" s="279"/>
      <c r="E701" s="73" t="s">
        <v>24</v>
      </c>
      <c r="F701" s="105">
        <f t="shared" si="101"/>
        <v>3829000</v>
      </c>
      <c r="G701" s="114">
        <v>1</v>
      </c>
      <c r="H701" s="105">
        <f t="shared" si="100"/>
        <v>3829000</v>
      </c>
      <c r="I701" s="223">
        <v>3132</v>
      </c>
      <c r="J701" s="54">
        <v>3829000</v>
      </c>
      <c r="K701" s="182"/>
      <c r="L701" s="182"/>
      <c r="M701" s="182"/>
      <c r="N701" s="182"/>
      <c r="O701" s="182"/>
      <c r="P701" s="182"/>
      <c r="Q701" s="182">
        <f>1800000-1800000</f>
        <v>0</v>
      </c>
      <c r="R701" s="182">
        <f>1800000-1800000</f>
        <v>0</v>
      </c>
      <c r="S701" s="182"/>
      <c r="T701" s="182">
        <f>2029000+1800000-3179707.24</f>
        <v>649292.7599999998</v>
      </c>
      <c r="U701" s="182">
        <f>3165057.24</f>
        <v>3165057.24</v>
      </c>
      <c r="V701" s="182">
        <f>14650</f>
        <v>14650</v>
      </c>
      <c r="W701" s="29">
        <f t="shared" si="102"/>
        <v>0</v>
      </c>
      <c r="X701" s="29"/>
      <c r="Y701" s="29">
        <f t="shared" si="99"/>
        <v>0</v>
      </c>
    </row>
    <row r="702" spans="1:25" ht="56.25">
      <c r="A702" s="290"/>
      <c r="B702" s="290"/>
      <c r="C702" s="290"/>
      <c r="D702" s="279"/>
      <c r="E702" s="73" t="s">
        <v>313</v>
      </c>
      <c r="F702" s="105">
        <f t="shared" si="101"/>
        <v>3700000</v>
      </c>
      <c r="G702" s="114">
        <v>1</v>
      </c>
      <c r="H702" s="105">
        <f t="shared" si="100"/>
        <v>3700000</v>
      </c>
      <c r="I702" s="223">
        <v>3132</v>
      </c>
      <c r="J702" s="54">
        <v>3700000</v>
      </c>
      <c r="K702" s="182"/>
      <c r="L702" s="182"/>
      <c r="M702" s="182">
        <v>1800000</v>
      </c>
      <c r="N702" s="182"/>
      <c r="O702" s="182"/>
      <c r="P702" s="182">
        <f>1900000-1900000</f>
        <v>0</v>
      </c>
      <c r="Q702" s="182"/>
      <c r="R702" s="182">
        <f>1900000-944096.89</f>
        <v>955903.11</v>
      </c>
      <c r="S702" s="182">
        <f>58503.89</f>
        <v>58503.89</v>
      </c>
      <c r="T702" s="182">
        <f>885593</f>
        <v>885593</v>
      </c>
      <c r="U702" s="182"/>
      <c r="V702" s="182"/>
      <c r="W702" s="29">
        <f t="shared" si="102"/>
        <v>0</v>
      </c>
      <c r="X702" s="29">
        <f>1800000+924034.8</f>
        <v>2724034.8</v>
      </c>
      <c r="Y702" s="29">
        <f t="shared" si="99"/>
        <v>31868.310000000056</v>
      </c>
    </row>
    <row r="703" spans="1:25" ht="37.5">
      <c r="A703" s="290"/>
      <c r="B703" s="290"/>
      <c r="C703" s="290"/>
      <c r="D703" s="279"/>
      <c r="E703" s="73" t="s">
        <v>167</v>
      </c>
      <c r="F703" s="105">
        <f t="shared" si="101"/>
        <v>516000</v>
      </c>
      <c r="G703" s="114">
        <v>1</v>
      </c>
      <c r="H703" s="105">
        <f t="shared" si="100"/>
        <v>516000</v>
      </c>
      <c r="I703" s="223">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290"/>
      <c r="B704" s="290"/>
      <c r="C704" s="290"/>
      <c r="D704" s="279"/>
      <c r="E704" s="73" t="s">
        <v>462</v>
      </c>
      <c r="F704" s="105">
        <f t="shared" si="101"/>
        <v>0</v>
      </c>
      <c r="G704" s="114">
        <v>1</v>
      </c>
      <c r="H704" s="105">
        <f t="shared" si="100"/>
        <v>0</v>
      </c>
      <c r="I704" s="223">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290"/>
      <c r="B705" s="290"/>
      <c r="C705" s="290"/>
      <c r="D705" s="279"/>
      <c r="E705" s="73" t="s">
        <v>463</v>
      </c>
      <c r="F705" s="105">
        <f t="shared" si="101"/>
        <v>0</v>
      </c>
      <c r="G705" s="114">
        <v>1</v>
      </c>
      <c r="H705" s="105">
        <f t="shared" si="100"/>
        <v>0</v>
      </c>
      <c r="I705" s="223">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290"/>
      <c r="B706" s="290"/>
      <c r="C706" s="290"/>
      <c r="D706" s="279"/>
      <c r="E706" s="73" t="s">
        <v>499</v>
      </c>
      <c r="F706" s="105"/>
      <c r="G706" s="114"/>
      <c r="H706" s="105"/>
      <c r="I706" s="223">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290"/>
      <c r="B707" s="290"/>
      <c r="C707" s="290"/>
      <c r="D707" s="279"/>
      <c r="E707" s="73" t="s">
        <v>501</v>
      </c>
      <c r="F707" s="105"/>
      <c r="G707" s="114"/>
      <c r="H707" s="105"/>
      <c r="I707" s="223">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290"/>
      <c r="B708" s="290"/>
      <c r="C708" s="290"/>
      <c r="D708" s="279"/>
      <c r="E708" s="73" t="s">
        <v>950</v>
      </c>
      <c r="F708" s="105">
        <f t="shared" si="101"/>
        <v>6986700</v>
      </c>
      <c r="G708" s="114">
        <v>1</v>
      </c>
      <c r="H708" s="105">
        <f t="shared" si="100"/>
        <v>6986700</v>
      </c>
      <c r="I708" s="223">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123927-123927+760903.11+244096.89</f>
        <v>1005000</v>
      </c>
      <c r="S708" s="182">
        <f>58503.89-58503.89</f>
        <v>0</v>
      </c>
      <c r="T708" s="182">
        <f>185593-185593</f>
        <v>0</v>
      </c>
      <c r="U708" s="182"/>
      <c r="V708" s="182"/>
      <c r="W708" s="29">
        <f t="shared" si="102"/>
        <v>0</v>
      </c>
      <c r="X708" s="29">
        <f>2873000+2837862.43-2308122.56+2529936.44+3102.91+5687.16</f>
        <v>5941466.38</v>
      </c>
      <c r="Y708" s="29">
        <f t="shared" si="99"/>
        <v>1045233.6200000001</v>
      </c>
    </row>
    <row r="709" spans="1:25" ht="56.25">
      <c r="A709" s="290"/>
      <c r="B709" s="290"/>
      <c r="C709" s="290"/>
      <c r="D709" s="279"/>
      <c r="E709" s="73" t="s">
        <v>362</v>
      </c>
      <c r="F709" s="105">
        <f t="shared" si="101"/>
        <v>935000</v>
      </c>
      <c r="G709" s="114">
        <v>1</v>
      </c>
      <c r="H709" s="105">
        <f t="shared" si="100"/>
        <v>935000</v>
      </c>
      <c r="I709" s="223">
        <v>3132</v>
      </c>
      <c r="J709" s="54">
        <v>935000</v>
      </c>
      <c r="K709" s="182"/>
      <c r="L709" s="182"/>
      <c r="M709" s="182">
        <v>47500</v>
      </c>
      <c r="N709" s="182"/>
      <c r="O709" s="182"/>
      <c r="P709" s="182"/>
      <c r="Q709" s="182">
        <f>466750-400000</f>
        <v>66750</v>
      </c>
      <c r="R709" s="182">
        <f>400000-483778.47</f>
        <v>-83778.46999999997</v>
      </c>
      <c r="S709" s="182">
        <f>420750-292000</f>
        <v>128750</v>
      </c>
      <c r="T709" s="182">
        <f>775778.47</f>
        <v>775778.47</v>
      </c>
      <c r="U709" s="182"/>
      <c r="V709" s="182"/>
      <c r="W709" s="29">
        <f t="shared" si="102"/>
        <v>0</v>
      </c>
      <c r="X709" s="29"/>
      <c r="Y709" s="29">
        <f t="shared" si="99"/>
        <v>30471.530000000028</v>
      </c>
    </row>
    <row r="710" spans="1:25" ht="56.25">
      <c r="A710" s="290"/>
      <c r="B710" s="290"/>
      <c r="C710" s="290"/>
      <c r="D710" s="279"/>
      <c r="E710" s="73" t="s">
        <v>977</v>
      </c>
      <c r="F710" s="105">
        <f t="shared" si="101"/>
        <v>1360000</v>
      </c>
      <c r="G710" s="114">
        <v>1</v>
      </c>
      <c r="H710" s="105">
        <f t="shared" si="100"/>
        <v>1360000</v>
      </c>
      <c r="I710" s="223">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aca="true" t="shared" si="103" ref="Y710:Y773">K710+L710+M710+N710+O710+P710+Q710+R710-X710</f>
        <v>253000</v>
      </c>
    </row>
    <row r="711" spans="1:25" ht="56.25">
      <c r="A711" s="290"/>
      <c r="B711" s="290"/>
      <c r="C711" s="290"/>
      <c r="D711" s="279"/>
      <c r="E711" s="73" t="s">
        <v>366</v>
      </c>
      <c r="F711" s="105">
        <f t="shared" si="101"/>
        <v>1021000</v>
      </c>
      <c r="G711" s="114">
        <v>1</v>
      </c>
      <c r="H711" s="105">
        <f t="shared" si="100"/>
        <v>1021000</v>
      </c>
      <c r="I711" s="223">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103"/>
        <v>3700</v>
      </c>
    </row>
    <row r="712" spans="1:25" ht="75">
      <c r="A712" s="290"/>
      <c r="B712" s="290"/>
      <c r="C712" s="290"/>
      <c r="D712" s="279"/>
      <c r="E712" s="73" t="s">
        <v>542</v>
      </c>
      <c r="F712" s="105"/>
      <c r="G712" s="114"/>
      <c r="H712" s="105"/>
      <c r="I712" s="223">
        <v>3132</v>
      </c>
      <c r="J712" s="54">
        <v>50000</v>
      </c>
      <c r="K712" s="182"/>
      <c r="L712" s="182"/>
      <c r="M712" s="182"/>
      <c r="N712" s="182"/>
      <c r="O712" s="182"/>
      <c r="P712" s="182"/>
      <c r="Q712" s="182"/>
      <c r="R712" s="182">
        <f>50000</f>
        <v>50000</v>
      </c>
      <c r="S712" s="182"/>
      <c r="T712" s="182"/>
      <c r="U712" s="182"/>
      <c r="V712" s="182"/>
      <c r="W712" s="29">
        <f t="shared" si="102"/>
        <v>0</v>
      </c>
      <c r="X712" s="29"/>
      <c r="Y712" s="29">
        <f t="shared" si="103"/>
        <v>50000</v>
      </c>
    </row>
    <row r="713" spans="1:25" ht="93.75">
      <c r="A713" s="290"/>
      <c r="B713" s="290"/>
      <c r="C713" s="290"/>
      <c r="D713" s="279"/>
      <c r="E713" s="73" t="s">
        <v>540</v>
      </c>
      <c r="F713" s="105">
        <f t="shared" si="101"/>
        <v>294000</v>
      </c>
      <c r="G713" s="114"/>
      <c r="H713" s="105">
        <f t="shared" si="100"/>
        <v>294000</v>
      </c>
      <c r="I713" s="223">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103"/>
        <v>30000</v>
      </c>
    </row>
    <row r="714" spans="1:25" ht="42" customHeight="1">
      <c r="A714" s="290"/>
      <c r="B714" s="290"/>
      <c r="C714" s="290"/>
      <c r="D714" s="279"/>
      <c r="E714" s="73" t="s">
        <v>1035</v>
      </c>
      <c r="F714" s="105">
        <f t="shared" si="101"/>
        <v>13812568</v>
      </c>
      <c r="G714" s="114">
        <v>1</v>
      </c>
      <c r="H714" s="105">
        <f t="shared" si="100"/>
        <v>13812568</v>
      </c>
      <c r="I714" s="223">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2618790+1100000+123927-1000000-1800000-540000+1100000+250000+700000</f>
        <v>2552717</v>
      </c>
      <c r="S714" s="182">
        <v>199004</v>
      </c>
      <c r="T714" s="182">
        <f>28348+246000+439068-700000</f>
        <v>13416</v>
      </c>
      <c r="U714" s="182">
        <f>1472356+3920000-3920000-1016660+688500+836000</f>
        <v>1980196</v>
      </c>
      <c r="V714" s="182">
        <f>2423340-1790000-633340</f>
        <v>0</v>
      </c>
      <c r="W714" s="29">
        <f t="shared" si="102"/>
        <v>0</v>
      </c>
      <c r="X714" s="29">
        <f>159000+364000+191373.72+137000+127000+2799619.35+230144.75+309727.82+3000000+582880.42+700000+1035000+25000+31000</f>
        <v>9691746.06</v>
      </c>
      <c r="Y714" s="29">
        <f t="shared" si="103"/>
        <v>1928205.9399999995</v>
      </c>
    </row>
    <row r="715" spans="1:25" ht="37.5">
      <c r="A715" s="290"/>
      <c r="B715" s="290"/>
      <c r="C715" s="290"/>
      <c r="D715" s="279"/>
      <c r="E715" s="73" t="s">
        <v>941</v>
      </c>
      <c r="F715" s="105">
        <f t="shared" si="101"/>
        <v>3723800</v>
      </c>
      <c r="G715" s="114">
        <v>1</v>
      </c>
      <c r="H715" s="105">
        <f t="shared" si="100"/>
        <v>3723800</v>
      </c>
      <c r="I715" s="223">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178841+107000+461139+64000+76646.85+89000+1400000-251377+120837.08+251377+3138.13</f>
        <v>2500602.06</v>
      </c>
      <c r="Y715" s="29">
        <f t="shared" si="103"/>
        <v>463197.93999999994</v>
      </c>
    </row>
    <row r="716" spans="1:25" ht="56.25">
      <c r="A716" s="290"/>
      <c r="B716" s="290"/>
      <c r="C716" s="290"/>
      <c r="D716" s="279"/>
      <c r="E716" s="73" t="s">
        <v>544</v>
      </c>
      <c r="F716" s="105"/>
      <c r="G716" s="114"/>
      <c r="H716" s="105"/>
      <c r="I716" s="223">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 t="shared" si="103"/>
        <v>50000</v>
      </c>
    </row>
    <row r="717" spans="1:25" ht="42" customHeight="1">
      <c r="A717" s="290"/>
      <c r="B717" s="290"/>
      <c r="C717" s="290"/>
      <c r="D717" s="279"/>
      <c r="E717" s="73" t="s">
        <v>464</v>
      </c>
      <c r="F717" s="105">
        <f t="shared" si="101"/>
        <v>33000</v>
      </c>
      <c r="G717" s="114">
        <v>1</v>
      </c>
      <c r="H717" s="105">
        <f t="shared" si="100"/>
        <v>33000</v>
      </c>
      <c r="I717" s="223">
        <v>3142</v>
      </c>
      <c r="J717" s="54">
        <v>33000</v>
      </c>
      <c r="K717" s="182"/>
      <c r="L717" s="182"/>
      <c r="M717" s="182">
        <v>33000</v>
      </c>
      <c r="N717" s="182"/>
      <c r="O717" s="182"/>
      <c r="P717" s="182"/>
      <c r="Q717" s="182"/>
      <c r="R717" s="182"/>
      <c r="S717" s="182"/>
      <c r="T717" s="182"/>
      <c r="U717" s="182"/>
      <c r="V717" s="182"/>
      <c r="W717" s="29">
        <f t="shared" si="102"/>
        <v>0</v>
      </c>
      <c r="X717" s="29"/>
      <c r="Y717" s="29">
        <f t="shared" si="103"/>
        <v>33000</v>
      </c>
    </row>
    <row r="718" spans="1:25" ht="75">
      <c r="A718" s="290"/>
      <c r="B718" s="290"/>
      <c r="C718" s="290"/>
      <c r="D718" s="279"/>
      <c r="E718" s="73" t="s">
        <v>497</v>
      </c>
      <c r="F718" s="105">
        <f t="shared" si="101"/>
        <v>117000</v>
      </c>
      <c r="G718" s="114"/>
      <c r="H718" s="105">
        <f t="shared" si="100"/>
        <v>117000</v>
      </c>
      <c r="I718" s="223">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103"/>
        <v>117000</v>
      </c>
    </row>
    <row r="719" spans="1:25" ht="56.25">
      <c r="A719" s="290"/>
      <c r="B719" s="290"/>
      <c r="C719" s="290"/>
      <c r="D719" s="279"/>
      <c r="E719" s="73" t="s">
        <v>498</v>
      </c>
      <c r="F719" s="105">
        <f t="shared" si="101"/>
        <v>116000</v>
      </c>
      <c r="G719" s="114"/>
      <c r="H719" s="105">
        <f t="shared" si="100"/>
        <v>116000</v>
      </c>
      <c r="I719" s="223">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103"/>
        <v>116000</v>
      </c>
    </row>
    <row r="720" spans="1:25" ht="60" customHeight="1">
      <c r="A720" s="290"/>
      <c r="B720" s="290"/>
      <c r="C720" s="290"/>
      <c r="D720" s="279"/>
      <c r="E720" s="73" t="s">
        <v>433</v>
      </c>
      <c r="F720" s="105">
        <f t="shared" si="101"/>
        <v>116000</v>
      </c>
      <c r="G720" s="114">
        <v>1</v>
      </c>
      <c r="H720" s="105">
        <f t="shared" si="100"/>
        <v>116000</v>
      </c>
      <c r="I720" s="223">
        <v>3142</v>
      </c>
      <c r="J720" s="54">
        <v>116000</v>
      </c>
      <c r="K720" s="182"/>
      <c r="L720" s="182"/>
      <c r="M720" s="182"/>
      <c r="N720" s="182"/>
      <c r="O720" s="182"/>
      <c r="P720" s="182"/>
      <c r="Q720" s="182"/>
      <c r="R720" s="182"/>
      <c r="S720" s="182">
        <v>116000</v>
      </c>
      <c r="T720" s="182"/>
      <c r="U720" s="182"/>
      <c r="V720" s="182"/>
      <c r="W720" s="29">
        <f t="shared" si="102"/>
        <v>0</v>
      </c>
      <c r="X720" s="29"/>
      <c r="Y720" s="29">
        <f t="shared" si="103"/>
        <v>0</v>
      </c>
    </row>
    <row r="721" spans="1:25" ht="36" hidden="1">
      <c r="A721" s="290"/>
      <c r="B721" s="290"/>
      <c r="C721" s="290"/>
      <c r="D721" s="279"/>
      <c r="E721" s="73" t="s">
        <v>469</v>
      </c>
      <c r="F721" s="105">
        <f>J721</f>
        <v>0</v>
      </c>
      <c r="G721" s="114">
        <v>1</v>
      </c>
      <c r="H721" s="105">
        <f>J721</f>
        <v>0</v>
      </c>
      <c r="I721" s="223">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103"/>
        <v>0</v>
      </c>
    </row>
    <row r="722" spans="1:25" ht="56.25">
      <c r="A722" s="290"/>
      <c r="B722" s="290"/>
      <c r="C722" s="290"/>
      <c r="D722" s="279"/>
      <c r="E722" s="73" t="s">
        <v>652</v>
      </c>
      <c r="F722" s="105"/>
      <c r="G722" s="114"/>
      <c r="H722" s="105"/>
      <c r="I722" s="223">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103"/>
        <v>446000</v>
      </c>
    </row>
    <row r="723" spans="1:25" ht="56.25">
      <c r="A723" s="290"/>
      <c r="B723" s="290"/>
      <c r="C723" s="290"/>
      <c r="D723" s="279"/>
      <c r="E723" s="73" t="s">
        <v>658</v>
      </c>
      <c r="F723" s="105">
        <f>J723</f>
        <v>1540000</v>
      </c>
      <c r="G723" s="114">
        <v>1</v>
      </c>
      <c r="H723" s="105">
        <f>J723</f>
        <v>1540000</v>
      </c>
      <c r="I723" s="223">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103"/>
        <v>127770.78000000003</v>
      </c>
    </row>
    <row r="724" spans="1:25" ht="18.75">
      <c r="A724" s="290"/>
      <c r="B724" s="290"/>
      <c r="C724" s="290"/>
      <c r="D724" s="279"/>
      <c r="E724" s="73" t="s">
        <v>465</v>
      </c>
      <c r="F724" s="105">
        <f t="shared" si="101"/>
        <v>474101</v>
      </c>
      <c r="G724" s="114">
        <v>1</v>
      </c>
      <c r="H724" s="105">
        <f t="shared" si="100"/>
        <v>474101</v>
      </c>
      <c r="I724" s="223">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103"/>
        <v>20384</v>
      </c>
    </row>
    <row r="725" spans="1:25" ht="37.5">
      <c r="A725" s="290"/>
      <c r="B725" s="290"/>
      <c r="C725" s="290"/>
      <c r="D725" s="279"/>
      <c r="E725" s="73" t="s">
        <v>543</v>
      </c>
      <c r="F725" s="105"/>
      <c r="G725" s="114"/>
      <c r="H725" s="105"/>
      <c r="I725" s="223">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103"/>
        <v>50000</v>
      </c>
    </row>
    <row r="726" spans="1:25" ht="56.25">
      <c r="A726" s="290"/>
      <c r="B726" s="290"/>
      <c r="C726" s="290"/>
      <c r="D726" s="279"/>
      <c r="E726" s="73" t="s">
        <v>466</v>
      </c>
      <c r="F726" s="105">
        <f t="shared" si="101"/>
        <v>72500</v>
      </c>
      <c r="G726" s="114">
        <v>1</v>
      </c>
      <c r="H726" s="105">
        <f t="shared" si="100"/>
        <v>72500</v>
      </c>
      <c r="I726" s="223">
        <v>3142</v>
      </c>
      <c r="J726" s="54">
        <v>72500</v>
      </c>
      <c r="K726" s="182"/>
      <c r="L726" s="182"/>
      <c r="M726" s="182">
        <v>72500</v>
      </c>
      <c r="N726" s="182"/>
      <c r="O726" s="182"/>
      <c r="P726" s="182"/>
      <c r="Q726" s="182"/>
      <c r="R726" s="182"/>
      <c r="S726" s="182"/>
      <c r="T726" s="182"/>
      <c r="U726" s="182"/>
      <c r="V726" s="182"/>
      <c r="W726" s="29">
        <f t="shared" si="102"/>
        <v>0</v>
      </c>
      <c r="X726" s="29"/>
      <c r="Y726" s="29">
        <f t="shared" si="103"/>
        <v>72500</v>
      </c>
    </row>
    <row r="727" spans="1:25" ht="60" customHeight="1">
      <c r="A727" s="290"/>
      <c r="B727" s="297"/>
      <c r="C727" s="290"/>
      <c r="D727" s="279"/>
      <c r="E727" s="73" t="s">
        <v>470</v>
      </c>
      <c r="F727" s="105">
        <f t="shared" si="101"/>
        <v>714000</v>
      </c>
      <c r="G727" s="114">
        <v>1</v>
      </c>
      <c r="H727" s="105">
        <f t="shared" si="100"/>
        <v>714000</v>
      </c>
      <c r="I727" s="223">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103"/>
        <v>364000</v>
      </c>
    </row>
    <row r="728" spans="1:25" ht="18.75">
      <c r="A728" s="298" t="s">
        <v>757</v>
      </c>
      <c r="B728" s="293" t="s">
        <v>80</v>
      </c>
      <c r="C728" s="298" t="s">
        <v>280</v>
      </c>
      <c r="D728" s="291" t="s">
        <v>758</v>
      </c>
      <c r="E728" s="73"/>
      <c r="F728" s="73"/>
      <c r="G728" s="73"/>
      <c r="H728" s="73"/>
      <c r="I728" s="261"/>
      <c r="J728" s="60">
        <f aca="true" t="shared" si="104" ref="J728:X728">J821+J877+J902+J829+J732+J735+J860+J729+J881+J771+J885</f>
        <v>84925091.48</v>
      </c>
      <c r="K728" s="60">
        <f t="shared" si="104"/>
        <v>0</v>
      </c>
      <c r="L728" s="60">
        <f t="shared" si="104"/>
        <v>1519997</v>
      </c>
      <c r="M728" s="60">
        <f t="shared" si="104"/>
        <v>12045001</v>
      </c>
      <c r="N728" s="60">
        <f t="shared" si="104"/>
        <v>11622816</v>
      </c>
      <c r="O728" s="60">
        <f t="shared" si="104"/>
        <v>-4134889</v>
      </c>
      <c r="P728" s="60">
        <f t="shared" si="104"/>
        <v>5891870</v>
      </c>
      <c r="Q728" s="60">
        <f t="shared" si="104"/>
        <v>8583680</v>
      </c>
      <c r="R728" s="60">
        <f t="shared" si="104"/>
        <v>5115207</v>
      </c>
      <c r="S728" s="60">
        <f t="shared" si="104"/>
        <v>6844760</v>
      </c>
      <c r="T728" s="60">
        <f t="shared" si="104"/>
        <v>4962530</v>
      </c>
      <c r="U728" s="60">
        <f t="shared" si="104"/>
        <v>12591828</v>
      </c>
      <c r="V728" s="60">
        <f t="shared" si="104"/>
        <v>19882291.48</v>
      </c>
      <c r="W728" s="60">
        <f t="shared" si="104"/>
        <v>7.275957614183426E-12</v>
      </c>
      <c r="X728" s="60">
        <f t="shared" si="104"/>
        <v>29658103.11</v>
      </c>
      <c r="Y728" s="29">
        <f t="shared" si="103"/>
        <v>10985578.89</v>
      </c>
    </row>
    <row r="729" spans="1:25" ht="42" customHeight="1">
      <c r="A729" s="298"/>
      <c r="B729" s="299"/>
      <c r="C729" s="298"/>
      <c r="D729" s="291"/>
      <c r="E729" s="75" t="s">
        <v>241</v>
      </c>
      <c r="F729" s="75"/>
      <c r="G729" s="75"/>
      <c r="H729" s="75"/>
      <c r="I729" s="263"/>
      <c r="J729" s="76">
        <f>SUM(J730:J731)</f>
        <v>6037000</v>
      </c>
      <c r="K729" s="76">
        <f aca="true" t="shared" si="105" ref="K729:V729">SUM(K730:K731)</f>
        <v>0</v>
      </c>
      <c r="L729" s="76">
        <f t="shared" si="105"/>
        <v>0</v>
      </c>
      <c r="M729" s="76">
        <f t="shared" si="105"/>
        <v>200000</v>
      </c>
      <c r="N729" s="76">
        <f t="shared" si="105"/>
        <v>2963100</v>
      </c>
      <c r="O729" s="76">
        <f t="shared" si="105"/>
        <v>-2850411.03</v>
      </c>
      <c r="P729" s="76">
        <f t="shared" si="105"/>
        <v>180000</v>
      </c>
      <c r="Q729" s="76">
        <f t="shared" si="105"/>
        <v>237669.03000000003</v>
      </c>
      <c r="R729" s="76">
        <f t="shared" si="105"/>
        <v>0</v>
      </c>
      <c r="S729" s="76">
        <f t="shared" si="105"/>
        <v>536900</v>
      </c>
      <c r="T729" s="76">
        <f t="shared" si="105"/>
        <v>2965000</v>
      </c>
      <c r="U729" s="76">
        <f t="shared" si="105"/>
        <v>0</v>
      </c>
      <c r="V729" s="76">
        <f t="shared" si="105"/>
        <v>1804742</v>
      </c>
      <c r="W729" s="76">
        <f>SUM(W730:W731)</f>
        <v>0</v>
      </c>
      <c r="X729" s="76">
        <f>SUM(X730:X731)</f>
        <v>0</v>
      </c>
      <c r="Y729" s="29">
        <f t="shared" si="103"/>
        <v>730358.0000000002</v>
      </c>
    </row>
    <row r="730" spans="1:25" ht="75">
      <c r="A730" s="298"/>
      <c r="B730" s="299"/>
      <c r="C730" s="298"/>
      <c r="D730" s="291"/>
      <c r="E730" s="73" t="s">
        <v>1129</v>
      </c>
      <c r="F730" s="73"/>
      <c r="G730" s="73"/>
      <c r="H730" s="73"/>
      <c r="I730" s="261">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103"/>
        <v>193358.00000000023</v>
      </c>
    </row>
    <row r="731" spans="1:25" ht="63" customHeight="1">
      <c r="A731" s="298"/>
      <c r="B731" s="299"/>
      <c r="C731" s="298"/>
      <c r="D731" s="291"/>
      <c r="E731" s="73" t="s">
        <v>940</v>
      </c>
      <c r="F731" s="73"/>
      <c r="G731" s="73"/>
      <c r="H731" s="73"/>
      <c r="I731" s="261">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103"/>
        <v>537000</v>
      </c>
    </row>
    <row r="732" spans="1:25" ht="37.5" customHeight="1" hidden="1">
      <c r="A732" s="298"/>
      <c r="B732" s="299"/>
      <c r="C732" s="298"/>
      <c r="D732" s="291"/>
      <c r="E732" s="75" t="s">
        <v>125</v>
      </c>
      <c r="F732" s="75"/>
      <c r="G732" s="75"/>
      <c r="H732" s="75"/>
      <c r="I732" s="263"/>
      <c r="J732" s="60">
        <f>SUM(J733:J734)</f>
        <v>0</v>
      </c>
      <c r="K732" s="29"/>
      <c r="L732" s="29"/>
      <c r="M732" s="29"/>
      <c r="N732" s="29"/>
      <c r="O732" s="29"/>
      <c r="P732" s="29"/>
      <c r="Q732" s="29"/>
      <c r="R732" s="29"/>
      <c r="S732" s="29"/>
      <c r="T732" s="29"/>
      <c r="U732" s="29"/>
      <c r="V732" s="29"/>
      <c r="W732" s="29">
        <f t="shared" si="102"/>
        <v>0</v>
      </c>
      <c r="X732" s="29"/>
      <c r="Y732" s="29">
        <f t="shared" si="103"/>
        <v>0</v>
      </c>
    </row>
    <row r="733" spans="1:25" ht="18.75" customHeight="1" hidden="1">
      <c r="A733" s="298"/>
      <c r="B733" s="299"/>
      <c r="C733" s="298"/>
      <c r="D733" s="291"/>
      <c r="E733" s="28"/>
      <c r="F733" s="28"/>
      <c r="G733" s="28"/>
      <c r="H733" s="28"/>
      <c r="I733" s="226"/>
      <c r="J733" s="47"/>
      <c r="K733" s="29"/>
      <c r="L733" s="29"/>
      <c r="M733" s="29"/>
      <c r="N733" s="29"/>
      <c r="O733" s="29"/>
      <c r="P733" s="29"/>
      <c r="Q733" s="29"/>
      <c r="R733" s="29"/>
      <c r="S733" s="29"/>
      <c r="T733" s="29"/>
      <c r="U733" s="29"/>
      <c r="V733" s="29"/>
      <c r="W733" s="29">
        <f t="shared" si="102"/>
        <v>0</v>
      </c>
      <c r="X733" s="29"/>
      <c r="Y733" s="29">
        <f t="shared" si="103"/>
        <v>0</v>
      </c>
    </row>
    <row r="734" spans="1:25" ht="18.75" customHeight="1" hidden="1">
      <c r="A734" s="298"/>
      <c r="B734" s="299"/>
      <c r="C734" s="298"/>
      <c r="D734" s="291"/>
      <c r="E734" s="77"/>
      <c r="F734" s="77"/>
      <c r="G734" s="77"/>
      <c r="H734" s="77"/>
      <c r="I734" s="226"/>
      <c r="J734" s="47"/>
      <c r="K734" s="29"/>
      <c r="L734" s="29"/>
      <c r="M734" s="29"/>
      <c r="N734" s="29"/>
      <c r="O734" s="29"/>
      <c r="P734" s="29"/>
      <c r="Q734" s="29"/>
      <c r="R734" s="29"/>
      <c r="S734" s="29"/>
      <c r="T734" s="29"/>
      <c r="U734" s="29"/>
      <c r="V734" s="29"/>
      <c r="W734" s="29">
        <f t="shared" si="102"/>
        <v>0</v>
      </c>
      <c r="X734" s="29"/>
      <c r="Y734" s="29">
        <f t="shared" si="103"/>
        <v>0</v>
      </c>
    </row>
    <row r="735" spans="1:25" ht="56.25">
      <c r="A735" s="298"/>
      <c r="B735" s="299"/>
      <c r="C735" s="298"/>
      <c r="D735" s="291"/>
      <c r="E735" s="78" t="s">
        <v>909</v>
      </c>
      <c r="F735" s="78"/>
      <c r="G735" s="78"/>
      <c r="H735" s="78"/>
      <c r="I735" s="264"/>
      <c r="J735" s="79">
        <f>SUM(J736:J770)</f>
        <v>4102812</v>
      </c>
      <c r="K735" s="79">
        <f aca="true" t="shared" si="106" ref="K735:X735">SUM(K736:K770)</f>
        <v>0</v>
      </c>
      <c r="L735" s="79">
        <f t="shared" si="106"/>
        <v>49997</v>
      </c>
      <c r="M735" s="79">
        <f t="shared" si="106"/>
        <v>140480</v>
      </c>
      <c r="N735" s="79">
        <f t="shared" si="106"/>
        <v>749764</v>
      </c>
      <c r="O735" s="79">
        <f t="shared" si="106"/>
        <v>-820244</v>
      </c>
      <c r="P735" s="79">
        <f t="shared" si="106"/>
        <v>0</v>
      </c>
      <c r="Q735" s="79">
        <f t="shared" si="106"/>
        <v>821310</v>
      </c>
      <c r="R735" s="79">
        <f t="shared" si="106"/>
        <v>1185991</v>
      </c>
      <c r="S735" s="79">
        <f t="shared" si="106"/>
        <v>450540</v>
      </c>
      <c r="T735" s="79">
        <f t="shared" si="106"/>
        <v>488610</v>
      </c>
      <c r="U735" s="79">
        <f t="shared" si="106"/>
        <v>946364</v>
      </c>
      <c r="V735" s="79">
        <f t="shared" si="106"/>
        <v>90000</v>
      </c>
      <c r="W735" s="79">
        <f t="shared" si="106"/>
        <v>0</v>
      </c>
      <c r="X735" s="79">
        <f t="shared" si="106"/>
        <v>0</v>
      </c>
      <c r="Y735" s="29">
        <f t="shared" si="103"/>
        <v>2127298</v>
      </c>
    </row>
    <row r="736" spans="1:25" ht="176.25" customHeight="1">
      <c r="A736" s="298"/>
      <c r="B736" s="299"/>
      <c r="C736" s="298"/>
      <c r="D736" s="291"/>
      <c r="E736" s="190" t="s">
        <v>284</v>
      </c>
      <c r="F736" s="190"/>
      <c r="G736" s="190"/>
      <c r="H736" s="190"/>
      <c r="I736" s="265">
        <v>3210</v>
      </c>
      <c r="J736" s="208">
        <v>49997</v>
      </c>
      <c r="K736" s="193"/>
      <c r="L736" s="193">
        <v>49997</v>
      </c>
      <c r="M736" s="193"/>
      <c r="N736" s="193"/>
      <c r="O736" s="193"/>
      <c r="P736" s="193"/>
      <c r="Q736" s="193"/>
      <c r="R736" s="193"/>
      <c r="S736" s="193"/>
      <c r="T736" s="193"/>
      <c r="U736" s="193"/>
      <c r="V736" s="193"/>
      <c r="W736" s="29">
        <f t="shared" si="102"/>
        <v>0</v>
      </c>
      <c r="X736" s="29"/>
      <c r="Y736" s="29">
        <f t="shared" si="103"/>
        <v>49997</v>
      </c>
    </row>
    <row r="737" spans="1:25" ht="93.75">
      <c r="A737" s="298"/>
      <c r="B737" s="299"/>
      <c r="C737" s="298"/>
      <c r="D737" s="291"/>
      <c r="E737" s="80" t="s">
        <v>674</v>
      </c>
      <c r="F737" s="80"/>
      <c r="G737" s="80"/>
      <c r="H737" s="80"/>
      <c r="I737" s="262">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3"/>
        <v>9588</v>
      </c>
    </row>
    <row r="738" spans="1:25" ht="112.5">
      <c r="A738" s="298"/>
      <c r="B738" s="299"/>
      <c r="C738" s="298"/>
      <c r="D738" s="291"/>
      <c r="E738" s="80" t="s">
        <v>552</v>
      </c>
      <c r="F738" s="80"/>
      <c r="G738" s="80"/>
      <c r="H738" s="80"/>
      <c r="I738" s="262">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f t="shared" si="103"/>
        <v>14427</v>
      </c>
    </row>
    <row r="739" spans="1:25" ht="43.5" customHeight="1">
      <c r="A739" s="298"/>
      <c r="B739" s="299"/>
      <c r="C739" s="298"/>
      <c r="D739" s="291"/>
      <c r="E739" s="80" t="s">
        <v>910</v>
      </c>
      <c r="F739" s="80"/>
      <c r="G739" s="80"/>
      <c r="H739" s="80"/>
      <c r="I739" s="262">
        <v>3210</v>
      </c>
      <c r="J739" s="47">
        <v>50000</v>
      </c>
      <c r="K739" s="182"/>
      <c r="L739" s="182"/>
      <c r="M739" s="182"/>
      <c r="N739" s="182"/>
      <c r="O739" s="182"/>
      <c r="P739" s="182"/>
      <c r="Q739" s="182"/>
      <c r="R739" s="182">
        <v>50000</v>
      </c>
      <c r="S739" s="182"/>
      <c r="T739" s="182"/>
      <c r="U739" s="182"/>
      <c r="V739" s="182"/>
      <c r="W739" s="29">
        <f t="shared" si="102"/>
        <v>0</v>
      </c>
      <c r="X739" s="29"/>
      <c r="Y739" s="29">
        <f t="shared" si="103"/>
        <v>50000</v>
      </c>
    </row>
    <row r="740" spans="1:25" ht="56.25">
      <c r="A740" s="298"/>
      <c r="B740" s="299"/>
      <c r="C740" s="298"/>
      <c r="D740" s="291"/>
      <c r="E740" s="80" t="s">
        <v>377</v>
      </c>
      <c r="F740" s="80"/>
      <c r="G740" s="80"/>
      <c r="H740" s="80"/>
      <c r="I740" s="262">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3"/>
        <v>0</v>
      </c>
    </row>
    <row r="741" spans="1:25" ht="36" hidden="1">
      <c r="A741" s="298"/>
      <c r="B741" s="299"/>
      <c r="C741" s="298"/>
      <c r="D741" s="291"/>
      <c r="E741" s="28" t="s">
        <v>834</v>
      </c>
      <c r="F741" s="28"/>
      <c r="G741" s="28"/>
      <c r="H741" s="28"/>
      <c r="I741" s="262">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3"/>
        <v>0</v>
      </c>
    </row>
    <row r="742" spans="1:25" ht="56.25">
      <c r="A742" s="298"/>
      <c r="B742" s="299"/>
      <c r="C742" s="298"/>
      <c r="D742" s="291"/>
      <c r="E742" s="28" t="s">
        <v>776</v>
      </c>
      <c r="F742" s="28"/>
      <c r="G742" s="28"/>
      <c r="H742" s="28"/>
      <c r="I742" s="262">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3"/>
        <v>0</v>
      </c>
    </row>
    <row r="743" spans="1:25" ht="56.25">
      <c r="A743" s="298"/>
      <c r="B743" s="299"/>
      <c r="C743" s="298"/>
      <c r="D743" s="291"/>
      <c r="E743" s="28" t="s">
        <v>777</v>
      </c>
      <c r="F743" s="28"/>
      <c r="G743" s="28"/>
      <c r="H743" s="28"/>
      <c r="I743" s="262">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3"/>
        <v>0</v>
      </c>
    </row>
    <row r="744" spans="1:25" ht="63" customHeight="1">
      <c r="A744" s="298"/>
      <c r="B744" s="299"/>
      <c r="C744" s="298"/>
      <c r="D744" s="291"/>
      <c r="E744" s="28" t="s">
        <v>835</v>
      </c>
      <c r="F744" s="28"/>
      <c r="G744" s="28"/>
      <c r="H744" s="28"/>
      <c r="I744" s="262">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3"/>
        <v>26680</v>
      </c>
    </row>
    <row r="745" spans="1:25" ht="60.75" customHeight="1">
      <c r="A745" s="298"/>
      <c r="B745" s="299"/>
      <c r="C745" s="298"/>
      <c r="D745" s="291"/>
      <c r="E745" s="28" t="s">
        <v>1025</v>
      </c>
      <c r="F745" s="28"/>
      <c r="G745" s="28"/>
      <c r="H745" s="28"/>
      <c r="I745" s="262">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3"/>
        <v>26680</v>
      </c>
    </row>
    <row r="746" spans="1:25" ht="56.25">
      <c r="A746" s="298"/>
      <c r="B746" s="299"/>
      <c r="C746" s="298"/>
      <c r="D746" s="291"/>
      <c r="E746" s="28" t="s">
        <v>1082</v>
      </c>
      <c r="F746" s="28"/>
      <c r="G746" s="28"/>
      <c r="H746" s="28"/>
      <c r="I746" s="262">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3"/>
        <v>92000</v>
      </c>
    </row>
    <row r="747" spans="1:25" ht="56.25">
      <c r="A747" s="298"/>
      <c r="B747" s="299"/>
      <c r="C747" s="298"/>
      <c r="D747" s="291"/>
      <c r="E747" s="28" t="s">
        <v>1083</v>
      </c>
      <c r="F747" s="28"/>
      <c r="G747" s="28"/>
      <c r="H747" s="28"/>
      <c r="I747" s="262">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3"/>
        <v>0</v>
      </c>
    </row>
    <row r="748" spans="1:25" ht="56.25">
      <c r="A748" s="298"/>
      <c r="B748" s="299"/>
      <c r="C748" s="298"/>
      <c r="D748" s="291"/>
      <c r="E748" s="28" t="s">
        <v>938</v>
      </c>
      <c r="F748" s="28"/>
      <c r="G748" s="28"/>
      <c r="H748" s="28"/>
      <c r="I748" s="262">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3"/>
        <v>0</v>
      </c>
    </row>
    <row r="749" spans="1:25" ht="75">
      <c r="A749" s="298"/>
      <c r="B749" s="299"/>
      <c r="C749" s="298"/>
      <c r="D749" s="291"/>
      <c r="E749" s="28" t="s">
        <v>246</v>
      </c>
      <c r="F749" s="28"/>
      <c r="G749" s="28"/>
      <c r="H749" s="28"/>
      <c r="I749" s="262">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3"/>
        <v>0</v>
      </c>
    </row>
    <row r="750" spans="1:25" ht="54" hidden="1">
      <c r="A750" s="298"/>
      <c r="B750" s="299"/>
      <c r="C750" s="298"/>
      <c r="D750" s="291"/>
      <c r="E750" s="28" t="s">
        <v>247</v>
      </c>
      <c r="F750" s="28"/>
      <c r="G750" s="28"/>
      <c r="H750" s="28"/>
      <c r="I750" s="262">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3"/>
        <v>0</v>
      </c>
    </row>
    <row r="751" spans="1:25" ht="56.25">
      <c r="A751" s="298"/>
      <c r="B751" s="299"/>
      <c r="C751" s="298"/>
      <c r="D751" s="291"/>
      <c r="E751" s="28" t="s">
        <v>248</v>
      </c>
      <c r="F751" s="28"/>
      <c r="G751" s="28"/>
      <c r="H751" s="28"/>
      <c r="I751" s="262">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3"/>
        <v>35420</v>
      </c>
    </row>
    <row r="752" spans="1:25" ht="56.25">
      <c r="A752" s="298"/>
      <c r="B752" s="299"/>
      <c r="C752" s="298"/>
      <c r="D752" s="291"/>
      <c r="E752" s="28" t="s">
        <v>249</v>
      </c>
      <c r="F752" s="28"/>
      <c r="G752" s="28"/>
      <c r="H752" s="28"/>
      <c r="I752" s="262">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3"/>
        <v>35420</v>
      </c>
    </row>
    <row r="753" spans="1:25" ht="56.25">
      <c r="A753" s="298"/>
      <c r="B753" s="299"/>
      <c r="C753" s="298"/>
      <c r="D753" s="291"/>
      <c r="E753" s="28" t="s">
        <v>250</v>
      </c>
      <c r="F753" s="28"/>
      <c r="G753" s="28"/>
      <c r="H753" s="28"/>
      <c r="I753" s="262">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3"/>
        <v>35880</v>
      </c>
    </row>
    <row r="754" spans="1:25" ht="65.25" customHeight="1">
      <c r="A754" s="298"/>
      <c r="B754" s="299"/>
      <c r="C754" s="298"/>
      <c r="D754" s="291"/>
      <c r="E754" s="28" t="s">
        <v>251</v>
      </c>
      <c r="F754" s="28"/>
      <c r="G754" s="28"/>
      <c r="H754" s="28"/>
      <c r="I754" s="262">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3"/>
        <v>35880</v>
      </c>
    </row>
    <row r="755" spans="1:25" ht="62.25" customHeight="1">
      <c r="A755" s="298"/>
      <c r="B755" s="299"/>
      <c r="C755" s="298"/>
      <c r="D755" s="291"/>
      <c r="E755" s="28" t="s">
        <v>831</v>
      </c>
      <c r="F755" s="28"/>
      <c r="G755" s="28"/>
      <c r="H755" s="28"/>
      <c r="I755" s="262">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3"/>
        <v>35420</v>
      </c>
    </row>
    <row r="756" spans="1:25" ht="60" customHeight="1">
      <c r="A756" s="298"/>
      <c r="B756" s="299"/>
      <c r="C756" s="298"/>
      <c r="D756" s="291"/>
      <c r="E756" s="28" t="s">
        <v>832</v>
      </c>
      <c r="F756" s="28"/>
      <c r="G756" s="28"/>
      <c r="H756" s="28"/>
      <c r="I756" s="262">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3"/>
        <v>70840</v>
      </c>
    </row>
    <row r="757" spans="1:25" ht="60.75" customHeight="1">
      <c r="A757" s="298"/>
      <c r="B757" s="299"/>
      <c r="C757" s="298"/>
      <c r="D757" s="291"/>
      <c r="E757" s="28" t="s">
        <v>253</v>
      </c>
      <c r="F757" s="28"/>
      <c r="G757" s="28"/>
      <c r="H757" s="28"/>
      <c r="I757" s="262">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3"/>
        <v>70840</v>
      </c>
    </row>
    <row r="758" spans="1:25" ht="56.25">
      <c r="A758" s="298"/>
      <c r="B758" s="299"/>
      <c r="C758" s="298"/>
      <c r="D758" s="291"/>
      <c r="E758" s="28" t="s">
        <v>254</v>
      </c>
      <c r="F758" s="28"/>
      <c r="G758" s="28"/>
      <c r="H758" s="28"/>
      <c r="I758" s="262">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3"/>
        <v>70840</v>
      </c>
    </row>
    <row r="759" spans="1:25" ht="64.5" customHeight="1">
      <c r="A759" s="298"/>
      <c r="B759" s="299"/>
      <c r="C759" s="298"/>
      <c r="D759" s="291"/>
      <c r="E759" s="28" t="s">
        <v>954</v>
      </c>
      <c r="F759" s="28"/>
      <c r="G759" s="28"/>
      <c r="H759" s="28"/>
      <c r="I759" s="262">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3"/>
        <v>35880</v>
      </c>
    </row>
    <row r="760" spans="1:25" ht="56.25">
      <c r="A760" s="298"/>
      <c r="B760" s="299"/>
      <c r="C760" s="298"/>
      <c r="D760" s="291"/>
      <c r="E760" s="28" t="s">
        <v>955</v>
      </c>
      <c r="F760" s="28"/>
      <c r="G760" s="28"/>
      <c r="H760" s="28"/>
      <c r="I760" s="262">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3"/>
        <v>46736</v>
      </c>
    </row>
    <row r="761" spans="1:25" ht="36" hidden="1">
      <c r="A761" s="298"/>
      <c r="B761" s="299"/>
      <c r="C761" s="298"/>
      <c r="D761" s="291"/>
      <c r="E761" s="28" t="s">
        <v>956</v>
      </c>
      <c r="F761" s="28"/>
      <c r="G761" s="28"/>
      <c r="H761" s="28"/>
      <c r="I761" s="262">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3"/>
        <v>0</v>
      </c>
    </row>
    <row r="762" spans="1:25" ht="56.25">
      <c r="A762" s="298"/>
      <c r="B762" s="299"/>
      <c r="C762" s="298"/>
      <c r="D762" s="291"/>
      <c r="E762" s="28" t="s">
        <v>238</v>
      </c>
      <c r="F762" s="28"/>
      <c r="G762" s="28"/>
      <c r="H762" s="28"/>
      <c r="I762" s="262">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3"/>
        <v>65780</v>
      </c>
    </row>
    <row r="763" spans="1:25" ht="36" hidden="1">
      <c r="A763" s="298"/>
      <c r="B763" s="299"/>
      <c r="C763" s="298"/>
      <c r="D763" s="291"/>
      <c r="E763" s="28" t="s">
        <v>239</v>
      </c>
      <c r="F763" s="28"/>
      <c r="G763" s="28"/>
      <c r="H763" s="28"/>
      <c r="I763" s="262">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3"/>
        <v>0</v>
      </c>
    </row>
    <row r="764" spans="1:25" ht="56.25">
      <c r="A764" s="298"/>
      <c r="B764" s="299"/>
      <c r="C764" s="298"/>
      <c r="D764" s="291"/>
      <c r="E764" s="28" t="s">
        <v>240</v>
      </c>
      <c r="F764" s="28"/>
      <c r="G764" s="28"/>
      <c r="H764" s="28"/>
      <c r="I764" s="262">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3"/>
        <v>106720</v>
      </c>
    </row>
    <row r="765" spans="1:25" ht="56.25">
      <c r="A765" s="298"/>
      <c r="B765" s="299"/>
      <c r="C765" s="298"/>
      <c r="D765" s="291"/>
      <c r="E765" s="28" t="s">
        <v>242</v>
      </c>
      <c r="F765" s="28"/>
      <c r="G765" s="28"/>
      <c r="H765" s="28"/>
      <c r="I765" s="262">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3"/>
        <v>184000</v>
      </c>
    </row>
    <row r="766" spans="1:25" ht="75">
      <c r="A766" s="298"/>
      <c r="B766" s="299"/>
      <c r="C766" s="298"/>
      <c r="D766" s="291"/>
      <c r="E766" s="28" t="s">
        <v>492</v>
      </c>
      <c r="F766" s="28"/>
      <c r="G766" s="28"/>
      <c r="H766" s="28"/>
      <c r="I766" s="262">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3"/>
        <v>460000</v>
      </c>
    </row>
    <row r="767" spans="1:25" ht="75">
      <c r="A767" s="298"/>
      <c r="B767" s="299"/>
      <c r="C767" s="298"/>
      <c r="D767" s="291"/>
      <c r="E767" s="28" t="s">
        <v>546</v>
      </c>
      <c r="F767" s="28"/>
      <c r="G767" s="28"/>
      <c r="H767" s="28"/>
      <c r="I767" s="262">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3"/>
        <v>213440</v>
      </c>
    </row>
    <row r="768" spans="1:25" ht="56.25">
      <c r="A768" s="298"/>
      <c r="B768" s="299"/>
      <c r="C768" s="298"/>
      <c r="D768" s="291"/>
      <c r="E768" s="28" t="s">
        <v>325</v>
      </c>
      <c r="F768" s="28"/>
      <c r="G768" s="28"/>
      <c r="H768" s="28"/>
      <c r="I768" s="262">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3"/>
        <v>160080</v>
      </c>
    </row>
    <row r="769" spans="1:25" ht="150">
      <c r="A769" s="298"/>
      <c r="B769" s="299"/>
      <c r="C769" s="298"/>
      <c r="D769" s="291"/>
      <c r="E769" s="28" t="s">
        <v>535</v>
      </c>
      <c r="F769" s="28"/>
      <c r="G769" s="28"/>
      <c r="H769" s="28"/>
      <c r="I769" s="262">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 t="shared" si="103"/>
        <v>129750</v>
      </c>
    </row>
    <row r="770" spans="1:25" ht="93.75">
      <c r="A770" s="298"/>
      <c r="B770" s="299"/>
      <c r="C770" s="298"/>
      <c r="D770" s="291"/>
      <c r="E770" s="28" t="s">
        <v>331</v>
      </c>
      <c r="F770" s="28"/>
      <c r="G770" s="28"/>
      <c r="H770" s="28"/>
      <c r="I770" s="262">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3"/>
        <v>65000</v>
      </c>
    </row>
    <row r="771" spans="1:25" ht="37.5">
      <c r="A771" s="298"/>
      <c r="B771" s="299"/>
      <c r="C771" s="298"/>
      <c r="D771" s="291"/>
      <c r="E771" s="78" t="s">
        <v>322</v>
      </c>
      <c r="F771" s="78"/>
      <c r="G771" s="78"/>
      <c r="H771" s="78"/>
      <c r="I771" s="264"/>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3"/>
        <v>2497470.3000000003</v>
      </c>
    </row>
    <row r="772" spans="1:25" ht="79.5" customHeight="1">
      <c r="A772" s="298"/>
      <c r="B772" s="299"/>
      <c r="C772" s="298"/>
      <c r="D772" s="291"/>
      <c r="E772" s="72" t="s">
        <v>320</v>
      </c>
      <c r="F772" s="72"/>
      <c r="G772" s="72"/>
      <c r="H772" s="72"/>
      <c r="I772" s="262">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3"/>
        <v>0</v>
      </c>
    </row>
    <row r="773" spans="1:25" ht="174" customHeight="1">
      <c r="A773" s="298"/>
      <c r="B773" s="299"/>
      <c r="C773" s="298"/>
      <c r="D773" s="291"/>
      <c r="E773" s="190" t="s">
        <v>704</v>
      </c>
      <c r="F773" s="190"/>
      <c r="G773" s="190"/>
      <c r="H773" s="190"/>
      <c r="I773" s="265">
        <v>3210</v>
      </c>
      <c r="J773" s="208">
        <v>290000</v>
      </c>
      <c r="K773" s="180"/>
      <c r="L773" s="180">
        <v>290000</v>
      </c>
      <c r="M773" s="180"/>
      <c r="N773" s="180"/>
      <c r="O773" s="180"/>
      <c r="P773" s="180"/>
      <c r="Q773" s="180"/>
      <c r="R773" s="180"/>
      <c r="S773" s="180"/>
      <c r="T773" s="180"/>
      <c r="U773" s="180"/>
      <c r="V773" s="180"/>
      <c r="W773" s="29">
        <f t="shared" si="107"/>
        <v>0</v>
      </c>
      <c r="X773" s="29"/>
      <c r="Y773" s="29">
        <f t="shared" si="103"/>
        <v>290000</v>
      </c>
    </row>
    <row r="774" spans="1:25" ht="75">
      <c r="A774" s="298"/>
      <c r="B774" s="299"/>
      <c r="C774" s="298"/>
      <c r="D774" s="291"/>
      <c r="E774" s="80" t="s">
        <v>675</v>
      </c>
      <c r="F774" s="80"/>
      <c r="G774" s="80"/>
      <c r="H774" s="80"/>
      <c r="I774" s="262">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aca="true" t="shared" si="109" ref="Y774:Y837">K774+L774+M774+N774+O774+P774+Q774+R774-X774</f>
        <v>0</v>
      </c>
    </row>
    <row r="775" spans="1:25" ht="75">
      <c r="A775" s="298"/>
      <c r="B775" s="299"/>
      <c r="C775" s="298"/>
      <c r="D775" s="291"/>
      <c r="E775" s="80" t="s">
        <v>887</v>
      </c>
      <c r="F775" s="80"/>
      <c r="G775" s="80"/>
      <c r="H775" s="80"/>
      <c r="I775" s="262">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9"/>
        <v>147182</v>
      </c>
    </row>
    <row r="776" spans="1:25" ht="36" hidden="1">
      <c r="A776" s="298"/>
      <c r="B776" s="299"/>
      <c r="C776" s="298"/>
      <c r="D776" s="291"/>
      <c r="E776" s="72" t="s">
        <v>876</v>
      </c>
      <c r="F776" s="72"/>
      <c r="G776" s="72"/>
      <c r="H776" s="72"/>
      <c r="I776" s="262">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9"/>
        <v>0</v>
      </c>
    </row>
    <row r="777" spans="1:25" ht="36" hidden="1">
      <c r="A777" s="298"/>
      <c r="B777" s="299"/>
      <c r="C777" s="298"/>
      <c r="D777" s="291"/>
      <c r="E777" s="72" t="s">
        <v>1033</v>
      </c>
      <c r="F777" s="72"/>
      <c r="G777" s="72"/>
      <c r="H777" s="72"/>
      <c r="I777" s="262">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9"/>
        <v>0</v>
      </c>
    </row>
    <row r="778" spans="1:25" ht="56.25">
      <c r="A778" s="298"/>
      <c r="B778" s="299"/>
      <c r="C778" s="298"/>
      <c r="D778" s="291"/>
      <c r="E778" s="72" t="s">
        <v>1034</v>
      </c>
      <c r="F778" s="72"/>
      <c r="G778" s="72"/>
      <c r="H778" s="72"/>
      <c r="I778" s="262">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9"/>
        <v>88780</v>
      </c>
    </row>
    <row r="779" spans="1:25" ht="75">
      <c r="A779" s="298"/>
      <c r="B779" s="299"/>
      <c r="C779" s="298"/>
      <c r="D779" s="291"/>
      <c r="E779" s="72" t="s">
        <v>911</v>
      </c>
      <c r="F779" s="72"/>
      <c r="G779" s="72"/>
      <c r="H779" s="72"/>
      <c r="I779" s="262">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9"/>
        <v>89240</v>
      </c>
    </row>
    <row r="780" spans="1:25" ht="36" hidden="1">
      <c r="A780" s="298"/>
      <c r="B780" s="299"/>
      <c r="C780" s="298"/>
      <c r="D780" s="291"/>
      <c r="E780" s="72" t="s">
        <v>912</v>
      </c>
      <c r="F780" s="72"/>
      <c r="G780" s="72"/>
      <c r="H780" s="72"/>
      <c r="I780" s="262">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9"/>
        <v>0</v>
      </c>
    </row>
    <row r="781" spans="1:25" ht="56.25">
      <c r="A781" s="298"/>
      <c r="B781" s="299"/>
      <c r="C781" s="298"/>
      <c r="D781" s="291"/>
      <c r="E781" s="72" t="s">
        <v>179</v>
      </c>
      <c r="F781" s="72"/>
      <c r="G781" s="72"/>
      <c r="H781" s="72"/>
      <c r="I781" s="262">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9"/>
        <v>136880</v>
      </c>
    </row>
    <row r="782" spans="1:25" ht="54" hidden="1">
      <c r="A782" s="298"/>
      <c r="B782" s="299"/>
      <c r="C782" s="298"/>
      <c r="D782" s="291"/>
      <c r="E782" s="72" t="s">
        <v>905</v>
      </c>
      <c r="F782" s="72"/>
      <c r="G782" s="72"/>
      <c r="H782" s="72"/>
      <c r="I782" s="262">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9"/>
        <v>0</v>
      </c>
    </row>
    <row r="783" spans="1:25" ht="56.25">
      <c r="A783" s="298"/>
      <c r="B783" s="299"/>
      <c r="C783" s="298"/>
      <c r="D783" s="291"/>
      <c r="E783" s="72" t="s">
        <v>103</v>
      </c>
      <c r="F783" s="72"/>
      <c r="G783" s="72"/>
      <c r="H783" s="72"/>
      <c r="I783" s="262">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9"/>
        <v>10895.199999999997</v>
      </c>
    </row>
    <row r="784" spans="1:25" ht="75">
      <c r="A784" s="298"/>
      <c r="B784" s="299"/>
      <c r="C784" s="298"/>
      <c r="D784" s="291"/>
      <c r="E784" s="72" t="s">
        <v>104</v>
      </c>
      <c r="F784" s="72"/>
      <c r="G784" s="72"/>
      <c r="H784" s="72"/>
      <c r="I784" s="262">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9"/>
        <v>8121.5999999999985</v>
      </c>
    </row>
    <row r="785" spans="1:25" ht="56.25">
      <c r="A785" s="298"/>
      <c r="B785" s="299"/>
      <c r="C785" s="298"/>
      <c r="D785" s="291"/>
      <c r="E785" s="72" t="s">
        <v>781</v>
      </c>
      <c r="F785" s="72"/>
      <c r="G785" s="72"/>
      <c r="H785" s="72"/>
      <c r="I785" s="262">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9"/>
        <v>4963</v>
      </c>
    </row>
    <row r="786" spans="1:25" ht="75">
      <c r="A786" s="298"/>
      <c r="B786" s="299"/>
      <c r="C786" s="298"/>
      <c r="D786" s="291"/>
      <c r="E786" s="72" t="s">
        <v>906</v>
      </c>
      <c r="F786" s="72"/>
      <c r="G786" s="72"/>
      <c r="H786" s="72"/>
      <c r="I786" s="262">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9"/>
        <v>72945.4</v>
      </c>
    </row>
    <row r="787" spans="1:25" ht="36" hidden="1">
      <c r="A787" s="298"/>
      <c r="B787" s="299"/>
      <c r="C787" s="298"/>
      <c r="D787" s="291"/>
      <c r="E787" s="72" t="s">
        <v>39</v>
      </c>
      <c r="F787" s="72"/>
      <c r="G787" s="72"/>
      <c r="H787" s="72"/>
      <c r="I787" s="262">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9"/>
        <v>0</v>
      </c>
    </row>
    <row r="788" spans="1:25" ht="75">
      <c r="A788" s="298"/>
      <c r="B788" s="299"/>
      <c r="C788" s="298"/>
      <c r="D788" s="291"/>
      <c r="E788" s="72" t="s">
        <v>860</v>
      </c>
      <c r="F788" s="72"/>
      <c r="G788" s="72"/>
      <c r="H788" s="72"/>
      <c r="I788" s="262">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9"/>
        <v>24781.600000000006</v>
      </c>
    </row>
    <row r="789" spans="1:25" ht="75">
      <c r="A789" s="298"/>
      <c r="B789" s="299"/>
      <c r="C789" s="298"/>
      <c r="D789" s="291"/>
      <c r="E789" s="72" t="s">
        <v>283</v>
      </c>
      <c r="F789" s="72"/>
      <c r="G789" s="72"/>
      <c r="H789" s="72"/>
      <c r="I789" s="262">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9"/>
        <v>20000</v>
      </c>
    </row>
    <row r="790" spans="1:25" ht="56.25">
      <c r="A790" s="298"/>
      <c r="B790" s="299"/>
      <c r="C790" s="298"/>
      <c r="D790" s="291"/>
      <c r="E790" s="72" t="s">
        <v>1055</v>
      </c>
      <c r="F790" s="72"/>
      <c r="G790" s="72"/>
      <c r="H790" s="72"/>
      <c r="I790" s="262">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9"/>
        <v>68440</v>
      </c>
    </row>
    <row r="791" spans="1:25" ht="56.25">
      <c r="A791" s="298"/>
      <c r="B791" s="299"/>
      <c r="C791" s="298"/>
      <c r="D791" s="291"/>
      <c r="E791" s="72" t="s">
        <v>1039</v>
      </c>
      <c r="F791" s="72"/>
      <c r="G791" s="72"/>
      <c r="H791" s="72"/>
      <c r="I791" s="262">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9"/>
        <v>68440</v>
      </c>
    </row>
    <row r="792" spans="1:25" ht="75">
      <c r="A792" s="298"/>
      <c r="B792" s="299"/>
      <c r="C792" s="298"/>
      <c r="D792" s="291"/>
      <c r="E792" s="72" t="s">
        <v>532</v>
      </c>
      <c r="F792" s="72"/>
      <c r="G792" s="72"/>
      <c r="H792" s="72"/>
      <c r="I792" s="262">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 t="shared" si="109"/>
        <v>50000</v>
      </c>
    </row>
    <row r="793" spans="1:25" ht="56.25">
      <c r="A793" s="298"/>
      <c r="B793" s="299"/>
      <c r="C793" s="298"/>
      <c r="D793" s="291"/>
      <c r="E793" s="72" t="s">
        <v>1050</v>
      </c>
      <c r="F793" s="72"/>
      <c r="G793" s="72"/>
      <c r="H793" s="72"/>
      <c r="I793" s="262">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9"/>
        <v>136880</v>
      </c>
    </row>
    <row r="794" spans="1:25" ht="56.25">
      <c r="A794" s="298"/>
      <c r="B794" s="299"/>
      <c r="C794" s="298"/>
      <c r="D794" s="291"/>
      <c r="E794" s="72" t="s">
        <v>1051</v>
      </c>
      <c r="F794" s="72"/>
      <c r="G794" s="72"/>
      <c r="H794" s="72"/>
      <c r="I794" s="262">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6.25">
      <c r="A795" s="298"/>
      <c r="B795" s="299"/>
      <c r="C795" s="298"/>
      <c r="D795" s="291"/>
      <c r="E795" s="72" t="s">
        <v>206</v>
      </c>
      <c r="F795" s="72"/>
      <c r="G795" s="72"/>
      <c r="H795" s="72"/>
      <c r="I795" s="262">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 t="shared" si="109"/>
        <v>100000</v>
      </c>
    </row>
    <row r="796" spans="1:25" ht="56.25">
      <c r="A796" s="298"/>
      <c r="B796" s="299"/>
      <c r="C796" s="298"/>
      <c r="D796" s="291"/>
      <c r="E796" s="72" t="s">
        <v>689</v>
      </c>
      <c r="F796" s="72"/>
      <c r="G796" s="72"/>
      <c r="H796" s="72"/>
      <c r="I796" s="262">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9"/>
        <v>136880</v>
      </c>
    </row>
    <row r="797" spans="1:25" ht="54" hidden="1">
      <c r="A797" s="298"/>
      <c r="B797" s="299"/>
      <c r="C797" s="298"/>
      <c r="D797" s="291"/>
      <c r="E797" s="72" t="s">
        <v>690</v>
      </c>
      <c r="F797" s="72"/>
      <c r="G797" s="72"/>
      <c r="H797" s="72"/>
      <c r="I797" s="262">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54" hidden="1">
      <c r="A798" s="298"/>
      <c r="B798" s="299"/>
      <c r="C798" s="298"/>
      <c r="D798" s="291"/>
      <c r="E798" s="72" t="s">
        <v>1107</v>
      </c>
      <c r="F798" s="72"/>
      <c r="G798" s="72"/>
      <c r="H798" s="72"/>
      <c r="I798" s="262">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9"/>
        <v>0</v>
      </c>
    </row>
    <row r="799" spans="1:25" ht="54" hidden="1">
      <c r="A799" s="298"/>
      <c r="B799" s="299"/>
      <c r="C799" s="298"/>
      <c r="D799" s="291"/>
      <c r="E799" s="72" t="s">
        <v>1040</v>
      </c>
      <c r="F799" s="72"/>
      <c r="G799" s="72"/>
      <c r="H799" s="72"/>
      <c r="I799" s="262">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9"/>
        <v>0</v>
      </c>
    </row>
    <row r="800" spans="1:25" ht="75">
      <c r="A800" s="298"/>
      <c r="B800" s="299"/>
      <c r="C800" s="298"/>
      <c r="D800" s="291"/>
      <c r="E800" s="77" t="s">
        <v>415</v>
      </c>
      <c r="F800" s="77"/>
      <c r="G800" s="77"/>
      <c r="H800" s="77"/>
      <c r="I800" s="262">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9"/>
        <v>11537.199999999997</v>
      </c>
    </row>
    <row r="801" spans="1:25" ht="75">
      <c r="A801" s="298"/>
      <c r="B801" s="299"/>
      <c r="C801" s="298"/>
      <c r="D801" s="291"/>
      <c r="E801" s="77" t="s">
        <v>416</v>
      </c>
      <c r="F801" s="77"/>
      <c r="G801" s="77"/>
      <c r="H801" s="77"/>
      <c r="I801" s="262">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9"/>
        <v>59510</v>
      </c>
    </row>
    <row r="802" spans="1:25" ht="75">
      <c r="A802" s="298"/>
      <c r="B802" s="299"/>
      <c r="C802" s="298"/>
      <c r="D802" s="291"/>
      <c r="E802" s="77" t="s">
        <v>417</v>
      </c>
      <c r="F802" s="77"/>
      <c r="G802" s="77"/>
      <c r="H802" s="77"/>
      <c r="I802" s="262">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9"/>
        <v>53010</v>
      </c>
    </row>
    <row r="803" spans="1:25" ht="54" hidden="1">
      <c r="A803" s="298"/>
      <c r="B803" s="299"/>
      <c r="C803" s="298"/>
      <c r="D803" s="291"/>
      <c r="E803" s="77" t="s">
        <v>421</v>
      </c>
      <c r="F803" s="77"/>
      <c r="G803" s="77"/>
      <c r="H803" s="77"/>
      <c r="I803" s="262">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 t="shared" si="109"/>
        <v>0</v>
      </c>
    </row>
    <row r="804" spans="1:25" ht="54" hidden="1">
      <c r="A804" s="298"/>
      <c r="B804" s="299"/>
      <c r="C804" s="298"/>
      <c r="D804" s="291"/>
      <c r="E804" s="77" t="s">
        <v>422</v>
      </c>
      <c r="F804" s="77"/>
      <c r="G804" s="77"/>
      <c r="H804" s="77"/>
      <c r="I804" s="262">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 t="shared" si="109"/>
        <v>0</v>
      </c>
    </row>
    <row r="805" spans="1:25" ht="36" hidden="1">
      <c r="A805" s="298"/>
      <c r="B805" s="299"/>
      <c r="C805" s="298"/>
      <c r="D805" s="291"/>
      <c r="E805" s="77" t="s">
        <v>821</v>
      </c>
      <c r="F805" s="77"/>
      <c r="G805" s="77"/>
      <c r="H805" s="77"/>
      <c r="I805" s="262">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 t="shared" si="109"/>
        <v>0</v>
      </c>
    </row>
    <row r="806" spans="1:25" ht="36" hidden="1">
      <c r="A806" s="298"/>
      <c r="B806" s="299"/>
      <c r="C806" s="298"/>
      <c r="D806" s="291"/>
      <c r="E806" s="77" t="s">
        <v>822</v>
      </c>
      <c r="F806" s="77"/>
      <c r="G806" s="77"/>
      <c r="H806" s="77"/>
      <c r="I806" s="262">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 t="shared" si="109"/>
        <v>0</v>
      </c>
    </row>
    <row r="807" spans="1:25" ht="75">
      <c r="A807" s="298"/>
      <c r="B807" s="299"/>
      <c r="C807" s="298"/>
      <c r="D807" s="291"/>
      <c r="E807" s="77" t="s">
        <v>533</v>
      </c>
      <c r="F807" s="77"/>
      <c r="G807" s="77"/>
      <c r="H807" s="77"/>
      <c r="I807" s="262">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 t="shared" si="109"/>
        <v>0</v>
      </c>
    </row>
    <row r="808" spans="1:25" ht="56.25">
      <c r="A808" s="298"/>
      <c r="B808" s="299"/>
      <c r="C808" s="298"/>
      <c r="D808" s="291"/>
      <c r="E808" s="77" t="s">
        <v>72</v>
      </c>
      <c r="F808" s="77"/>
      <c r="G808" s="77"/>
      <c r="H808" s="77"/>
      <c r="I808" s="262">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t="shared" si="109"/>
        <v>84370</v>
      </c>
    </row>
    <row r="809" spans="1:25" ht="36" hidden="1">
      <c r="A809" s="298"/>
      <c r="B809" s="299"/>
      <c r="C809" s="298"/>
      <c r="D809" s="291"/>
      <c r="E809" s="77" t="s">
        <v>73</v>
      </c>
      <c r="F809" s="77"/>
      <c r="G809" s="77"/>
      <c r="H809" s="77"/>
      <c r="I809" s="262">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98"/>
      <c r="B810" s="299"/>
      <c r="C810" s="298"/>
      <c r="D810" s="291"/>
      <c r="E810" s="77" t="s">
        <v>74</v>
      </c>
      <c r="F810" s="77"/>
      <c r="G810" s="77"/>
      <c r="H810" s="77"/>
      <c r="I810" s="262">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298"/>
      <c r="B811" s="299"/>
      <c r="C811" s="298"/>
      <c r="D811" s="291"/>
      <c r="E811" s="77" t="s">
        <v>75</v>
      </c>
      <c r="F811" s="77"/>
      <c r="G811" s="77"/>
      <c r="H811" s="77"/>
      <c r="I811" s="262">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298"/>
      <c r="B812" s="299"/>
      <c r="C812" s="298"/>
      <c r="D812" s="291"/>
      <c r="E812" s="77" t="s">
        <v>369</v>
      </c>
      <c r="F812" s="77"/>
      <c r="G812" s="77"/>
      <c r="H812" s="77"/>
      <c r="I812" s="262">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84370</v>
      </c>
    </row>
    <row r="813" spans="1:25" ht="56.25">
      <c r="A813" s="298"/>
      <c r="B813" s="299"/>
      <c r="C813" s="298"/>
      <c r="D813" s="291"/>
      <c r="E813" s="77" t="s">
        <v>178</v>
      </c>
      <c r="F813" s="77"/>
      <c r="G813" s="77"/>
      <c r="H813" s="77"/>
      <c r="I813" s="262">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84370</v>
      </c>
    </row>
    <row r="814" spans="1:25" ht="56.25">
      <c r="A814" s="298"/>
      <c r="B814" s="299"/>
      <c r="C814" s="298"/>
      <c r="D814" s="291"/>
      <c r="E814" s="77" t="s">
        <v>1138</v>
      </c>
      <c r="F814" s="77"/>
      <c r="G814" s="77"/>
      <c r="H814" s="77"/>
      <c r="I814" s="262">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298"/>
      <c r="B815" s="299"/>
      <c r="C815" s="298"/>
      <c r="D815" s="291"/>
      <c r="E815" s="77" t="s">
        <v>1139</v>
      </c>
      <c r="F815" s="77"/>
      <c r="G815" s="77"/>
      <c r="H815" s="77"/>
      <c r="I815" s="262">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298"/>
      <c r="B816" s="299"/>
      <c r="C816" s="298"/>
      <c r="D816" s="291"/>
      <c r="E816" s="77" t="s">
        <v>1140</v>
      </c>
      <c r="F816" s="77"/>
      <c r="G816" s="77"/>
      <c r="H816" s="77"/>
      <c r="I816" s="262">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298"/>
      <c r="B817" s="299"/>
      <c r="C817" s="298"/>
      <c r="D817" s="291"/>
      <c r="E817" s="77" t="s">
        <v>1141</v>
      </c>
      <c r="F817" s="77"/>
      <c r="G817" s="77"/>
      <c r="H817" s="77"/>
      <c r="I817" s="262">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298"/>
      <c r="B818" s="299"/>
      <c r="C818" s="298"/>
      <c r="D818" s="291"/>
      <c r="E818" s="77" t="s">
        <v>1142</v>
      </c>
      <c r="F818" s="77"/>
      <c r="G818" s="77"/>
      <c r="H818" s="77"/>
      <c r="I818" s="262">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298"/>
      <c r="B819" s="299"/>
      <c r="C819" s="298"/>
      <c r="D819" s="291"/>
      <c r="E819" s="77" t="s">
        <v>434</v>
      </c>
      <c r="F819" s="77"/>
      <c r="G819" s="77"/>
      <c r="H819" s="77"/>
      <c r="I819" s="262">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298"/>
      <c r="B820" s="299"/>
      <c r="C820" s="298"/>
      <c r="D820" s="291"/>
      <c r="E820" s="77" t="s">
        <v>534</v>
      </c>
      <c r="F820" s="77"/>
      <c r="G820" s="77"/>
      <c r="H820" s="77"/>
      <c r="I820" s="262">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135365</v>
      </c>
    </row>
    <row r="821" spans="1:25" ht="56.25">
      <c r="A821" s="298"/>
      <c r="B821" s="299"/>
      <c r="C821" s="298"/>
      <c r="D821" s="291"/>
      <c r="E821" s="30" t="s">
        <v>629</v>
      </c>
      <c r="F821" s="30"/>
      <c r="G821" s="30"/>
      <c r="H821" s="30"/>
      <c r="I821" s="262"/>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22000</v>
      </c>
    </row>
    <row r="822" spans="1:25" ht="36" hidden="1">
      <c r="A822" s="298"/>
      <c r="B822" s="299"/>
      <c r="C822" s="298"/>
      <c r="D822" s="291"/>
      <c r="E822" s="28" t="s">
        <v>4</v>
      </c>
      <c r="F822" s="28"/>
      <c r="G822" s="28"/>
      <c r="H822" s="28"/>
      <c r="I822" s="262">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298"/>
      <c r="B823" s="299"/>
      <c r="C823" s="298"/>
      <c r="D823" s="291"/>
      <c r="E823" s="28" t="s">
        <v>400</v>
      </c>
      <c r="F823" s="28"/>
      <c r="G823" s="28"/>
      <c r="H823" s="28"/>
      <c r="I823" s="262">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298"/>
      <c r="B824" s="299"/>
      <c r="C824" s="298"/>
      <c r="D824" s="291"/>
      <c r="E824" s="28" t="s">
        <v>180</v>
      </c>
      <c r="F824" s="28"/>
      <c r="G824" s="28"/>
      <c r="H824" s="28"/>
      <c r="I824" s="262">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298"/>
      <c r="B825" s="299"/>
      <c r="C825" s="298"/>
      <c r="D825" s="291"/>
      <c r="E825" s="28" t="s">
        <v>401</v>
      </c>
      <c r="F825" s="28"/>
      <c r="G825" s="28"/>
      <c r="H825" s="28"/>
      <c r="I825" s="262">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298"/>
      <c r="B826" s="299"/>
      <c r="C826" s="298"/>
      <c r="D826" s="291"/>
      <c r="E826" s="28" t="s">
        <v>6</v>
      </c>
      <c r="F826" s="28"/>
      <c r="G826" s="28"/>
      <c r="H826" s="28"/>
      <c r="I826" s="262">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298"/>
      <c r="B827" s="299"/>
      <c r="C827" s="298"/>
      <c r="D827" s="291"/>
      <c r="E827" s="28" t="s">
        <v>402</v>
      </c>
      <c r="F827" s="28"/>
      <c r="G827" s="28"/>
      <c r="H827" s="28"/>
      <c r="I827" s="262">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298"/>
      <c r="B828" s="299"/>
      <c r="C828" s="298"/>
      <c r="D828" s="291"/>
      <c r="E828" s="28" t="s">
        <v>232</v>
      </c>
      <c r="F828" s="28"/>
      <c r="G828" s="28"/>
      <c r="H828" s="28"/>
      <c r="I828" s="262">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22000</v>
      </c>
    </row>
    <row r="829" spans="1:25" ht="37.5">
      <c r="A829" s="298"/>
      <c r="B829" s="299"/>
      <c r="C829" s="298"/>
      <c r="D829" s="291"/>
      <c r="E829" s="30" t="s">
        <v>616</v>
      </c>
      <c r="F829" s="30"/>
      <c r="G829" s="30"/>
      <c r="H829" s="30"/>
      <c r="I829" s="262"/>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2794756</v>
      </c>
      <c r="S829" s="79">
        <f t="shared" si="112"/>
        <v>4914700</v>
      </c>
      <c r="T829" s="79">
        <f t="shared" si="112"/>
        <v>70000</v>
      </c>
      <c r="U829" s="79">
        <f t="shared" si="112"/>
        <v>1461244</v>
      </c>
      <c r="V829" s="79">
        <f t="shared" si="112"/>
        <v>922089.48</v>
      </c>
      <c r="W829" s="79">
        <f t="shared" si="112"/>
        <v>-7.275957614183426E-12</v>
      </c>
      <c r="X829" s="79">
        <f t="shared" si="112"/>
        <v>4139397.26</v>
      </c>
      <c r="Y829" s="29">
        <f t="shared" si="109"/>
        <v>3931858.74</v>
      </c>
    </row>
    <row r="830" spans="1:25" ht="37.5">
      <c r="A830" s="298"/>
      <c r="B830" s="299"/>
      <c r="C830" s="298"/>
      <c r="D830" s="291"/>
      <c r="E830" s="28" t="s">
        <v>403</v>
      </c>
      <c r="F830" s="28"/>
      <c r="G830" s="28"/>
      <c r="H830" s="28"/>
      <c r="I830" s="262">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298"/>
      <c r="B831" s="299"/>
      <c r="C831" s="298"/>
      <c r="D831" s="291"/>
      <c r="E831" s="28" t="s">
        <v>404</v>
      </c>
      <c r="F831" s="28"/>
      <c r="G831" s="28"/>
      <c r="H831" s="28"/>
      <c r="I831" s="262">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298"/>
      <c r="B832" s="299"/>
      <c r="C832" s="298"/>
      <c r="D832" s="291"/>
      <c r="E832" s="191" t="s">
        <v>162</v>
      </c>
      <c r="F832" s="191"/>
      <c r="G832" s="191"/>
      <c r="H832" s="191"/>
      <c r="I832" s="266">
        <v>3210</v>
      </c>
      <c r="J832" s="208">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298"/>
      <c r="B833" s="299"/>
      <c r="C833" s="298"/>
      <c r="D833" s="291"/>
      <c r="E833" s="191" t="s">
        <v>493</v>
      </c>
      <c r="F833" s="191"/>
      <c r="G833" s="191"/>
      <c r="H833" s="191"/>
      <c r="I833" s="266">
        <v>3210</v>
      </c>
      <c r="J833" s="208">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298"/>
      <c r="B834" s="299"/>
      <c r="C834" s="298"/>
      <c r="D834" s="291"/>
      <c r="E834" s="28" t="s">
        <v>919</v>
      </c>
      <c r="F834" s="28"/>
      <c r="G834" s="28"/>
      <c r="H834" s="28"/>
      <c r="I834" s="226">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298"/>
      <c r="B835" s="299"/>
      <c r="C835" s="298"/>
      <c r="D835" s="291"/>
      <c r="E835" s="28" t="s">
        <v>920</v>
      </c>
      <c r="F835" s="28"/>
      <c r="G835" s="28"/>
      <c r="H835" s="28"/>
      <c r="I835" s="226">
        <v>3210</v>
      </c>
      <c r="J835" s="47">
        <v>250000</v>
      </c>
      <c r="K835" s="29"/>
      <c r="L835" s="29"/>
      <c r="M835" s="29"/>
      <c r="N835" s="29"/>
      <c r="O835" s="29"/>
      <c r="P835" s="29"/>
      <c r="Q835" s="29">
        <v>50000</v>
      </c>
      <c r="R835" s="29"/>
      <c r="S835" s="29">
        <f>50000+30000</f>
        <v>80000</v>
      </c>
      <c r="T835" s="29">
        <f>50000-30000</f>
        <v>20000</v>
      </c>
      <c r="U835" s="29">
        <v>50000</v>
      </c>
      <c r="V835" s="29">
        <v>50000</v>
      </c>
      <c r="W835" s="29">
        <f t="shared" si="111"/>
        <v>0</v>
      </c>
      <c r="X835" s="29"/>
      <c r="Y835" s="29">
        <f t="shared" si="109"/>
        <v>50000</v>
      </c>
    </row>
    <row r="836" spans="1:25" ht="72" hidden="1">
      <c r="A836" s="298"/>
      <c r="B836" s="299"/>
      <c r="C836" s="298"/>
      <c r="D836" s="291"/>
      <c r="E836" s="81" t="s">
        <v>598</v>
      </c>
      <c r="F836" s="81"/>
      <c r="G836" s="81"/>
      <c r="H836" s="81"/>
      <c r="I836" s="226">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298"/>
      <c r="B837" s="299"/>
      <c r="C837" s="298"/>
      <c r="D837" s="291"/>
      <c r="E837" s="81" t="s">
        <v>774</v>
      </c>
      <c r="F837" s="81"/>
      <c r="G837" s="81"/>
      <c r="H837" s="81"/>
      <c r="I837" s="226">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298"/>
      <c r="B838" s="299"/>
      <c r="C838" s="298"/>
      <c r="D838" s="291"/>
      <c r="E838" s="81" t="s">
        <v>775</v>
      </c>
      <c r="F838" s="81"/>
      <c r="G838" s="81"/>
      <c r="H838" s="81"/>
      <c r="I838" s="226">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aca="true" t="shared" si="113" ref="Y838:Y901">K838+L838+M838+N838+O838+P838+Q838+R838-X838</f>
        <v>0</v>
      </c>
    </row>
    <row r="839" spans="1:25" ht="54" hidden="1">
      <c r="A839" s="298"/>
      <c r="B839" s="299"/>
      <c r="C839" s="298"/>
      <c r="D839" s="291"/>
      <c r="E839" s="81" t="s">
        <v>609</v>
      </c>
      <c r="F839" s="81"/>
      <c r="G839" s="81"/>
      <c r="H839" s="81"/>
      <c r="I839" s="226">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13"/>
        <v>0</v>
      </c>
    </row>
    <row r="840" spans="1:25" ht="37.5">
      <c r="A840" s="298"/>
      <c r="B840" s="299"/>
      <c r="C840" s="298"/>
      <c r="D840" s="291"/>
      <c r="E840" s="28" t="s">
        <v>921</v>
      </c>
      <c r="F840" s="28"/>
      <c r="G840" s="28"/>
      <c r="H840" s="28"/>
      <c r="I840" s="226">
        <v>3210</v>
      </c>
      <c r="J840" s="47">
        <f>10920000-262000</f>
        <v>10658000</v>
      </c>
      <c r="K840" s="29"/>
      <c r="L840" s="29"/>
      <c r="M840" s="29">
        <v>658000</v>
      </c>
      <c r="N840" s="29"/>
      <c r="O840" s="29">
        <v>1802521.3</v>
      </c>
      <c r="P840" s="29"/>
      <c r="Q840" s="29">
        <f>1895900-1802521.3+1204000</f>
        <v>1297378.7</v>
      </c>
      <c r="R840" s="29">
        <f>1642156+650000</f>
        <v>2292156</v>
      </c>
      <c r="S840" s="29">
        <f>3600700-1204000+850000</f>
        <v>3246700</v>
      </c>
      <c r="T840" s="29">
        <f>1500000-1500000</f>
        <v>0</v>
      </c>
      <c r="U840" s="29">
        <v>1361244</v>
      </c>
      <c r="V840" s="29"/>
      <c r="W840" s="29">
        <f t="shared" si="111"/>
        <v>0</v>
      </c>
      <c r="X840" s="29">
        <f>106936.09+2353585.21+1207956.56</f>
        <v>3668477.86</v>
      </c>
      <c r="Y840" s="29">
        <f t="shared" si="113"/>
        <v>2381578.14</v>
      </c>
    </row>
    <row r="841" spans="1:25" ht="75">
      <c r="A841" s="298"/>
      <c r="B841" s="299"/>
      <c r="C841" s="298"/>
      <c r="D841" s="291"/>
      <c r="E841" s="28" t="s">
        <v>985</v>
      </c>
      <c r="F841" s="160"/>
      <c r="G841" s="114"/>
      <c r="H841" s="160"/>
      <c r="I841" s="226">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13"/>
        <v>336000</v>
      </c>
    </row>
    <row r="842" spans="1:25" ht="75">
      <c r="A842" s="298"/>
      <c r="B842" s="299"/>
      <c r="C842" s="298"/>
      <c r="D842" s="291"/>
      <c r="E842" s="28" t="s">
        <v>922</v>
      </c>
      <c r="F842" s="28"/>
      <c r="G842" s="28"/>
      <c r="H842" s="28"/>
      <c r="I842" s="226">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13"/>
        <v>0</v>
      </c>
    </row>
    <row r="843" spans="1:25" ht="56.25">
      <c r="A843" s="298"/>
      <c r="B843" s="299"/>
      <c r="C843" s="298"/>
      <c r="D843" s="291"/>
      <c r="E843" s="28" t="s">
        <v>105</v>
      </c>
      <c r="F843" s="28"/>
      <c r="G843" s="28"/>
      <c r="H843" s="28"/>
      <c r="I843" s="226">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13"/>
        <v>2633.350000000006</v>
      </c>
    </row>
    <row r="844" spans="1:25" ht="75">
      <c r="A844" s="298"/>
      <c r="B844" s="299"/>
      <c r="C844" s="298"/>
      <c r="D844" s="291"/>
      <c r="E844" s="28" t="s">
        <v>269</v>
      </c>
      <c r="F844" s="28"/>
      <c r="G844" s="28"/>
      <c r="H844" s="28"/>
      <c r="I844" s="226">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13"/>
        <v>129200</v>
      </c>
    </row>
    <row r="845" spans="1:25" ht="75">
      <c r="A845" s="298"/>
      <c r="B845" s="299"/>
      <c r="C845" s="298"/>
      <c r="D845" s="291"/>
      <c r="E845" s="81" t="s">
        <v>682</v>
      </c>
      <c r="F845" s="81"/>
      <c r="G845" s="81"/>
      <c r="H845" s="81"/>
      <c r="I845" s="226">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13"/>
        <v>200000</v>
      </c>
    </row>
    <row r="846" spans="1:25" ht="37.5">
      <c r="A846" s="298"/>
      <c r="B846" s="299"/>
      <c r="C846" s="298"/>
      <c r="D846" s="291"/>
      <c r="E846" s="81" t="s">
        <v>806</v>
      </c>
      <c r="F846" s="81"/>
      <c r="G846" s="81"/>
      <c r="H846" s="81"/>
      <c r="I846" s="226">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13"/>
        <v>181619.84</v>
      </c>
    </row>
    <row r="847" spans="1:25" ht="56.25">
      <c r="A847" s="298"/>
      <c r="B847" s="299"/>
      <c r="C847" s="298"/>
      <c r="D847" s="291"/>
      <c r="E847" s="81" t="s">
        <v>807</v>
      </c>
      <c r="F847" s="81"/>
      <c r="G847" s="81"/>
      <c r="H847" s="81"/>
      <c r="I847" s="226">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13"/>
        <v>239053.21</v>
      </c>
    </row>
    <row r="848" spans="1:25" ht="56.25">
      <c r="A848" s="298"/>
      <c r="B848" s="299"/>
      <c r="C848" s="298"/>
      <c r="D848" s="291"/>
      <c r="E848" s="81" t="s">
        <v>808</v>
      </c>
      <c r="F848" s="81"/>
      <c r="G848" s="81"/>
      <c r="H848" s="81"/>
      <c r="I848" s="226">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13"/>
        <v>45623.34</v>
      </c>
    </row>
    <row r="849" spans="1:25" ht="56.25">
      <c r="A849" s="298"/>
      <c r="B849" s="299"/>
      <c r="C849" s="298"/>
      <c r="D849" s="291"/>
      <c r="E849" s="81" t="s">
        <v>923</v>
      </c>
      <c r="F849" s="81"/>
      <c r="G849" s="81"/>
      <c r="H849" s="81"/>
      <c r="I849" s="226">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13"/>
        <v>97062.16</v>
      </c>
    </row>
    <row r="850" spans="1:25" ht="56.25">
      <c r="A850" s="298"/>
      <c r="B850" s="299"/>
      <c r="C850" s="298"/>
      <c r="D850" s="291"/>
      <c r="E850" s="81" t="s">
        <v>233</v>
      </c>
      <c r="F850" s="81"/>
      <c r="G850" s="81"/>
      <c r="H850" s="81"/>
      <c r="I850" s="226">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13"/>
        <v>17486.98999999999</v>
      </c>
    </row>
    <row r="851" spans="1:25" ht="43.5" customHeight="1">
      <c r="A851" s="298"/>
      <c r="B851" s="299"/>
      <c r="C851" s="298"/>
      <c r="D851" s="291"/>
      <c r="E851" s="81" t="s">
        <v>864</v>
      </c>
      <c r="F851" s="81"/>
      <c r="G851" s="81"/>
      <c r="H851" s="81"/>
      <c r="I851" s="226">
        <v>3210</v>
      </c>
      <c r="J851" s="47">
        <v>168000</v>
      </c>
      <c r="K851" s="29"/>
      <c r="L851" s="29"/>
      <c r="M851" s="29"/>
      <c r="N851" s="29"/>
      <c r="O851" s="29"/>
      <c r="P851" s="29"/>
      <c r="Q851" s="29">
        <v>84000</v>
      </c>
      <c r="R851" s="29"/>
      <c r="S851" s="29">
        <v>84000</v>
      </c>
      <c r="T851" s="29"/>
      <c r="U851" s="29"/>
      <c r="V851" s="29"/>
      <c r="W851" s="29">
        <f t="shared" si="111"/>
        <v>0</v>
      </c>
      <c r="X851" s="29"/>
      <c r="Y851" s="29">
        <f t="shared" si="113"/>
        <v>84000</v>
      </c>
    </row>
    <row r="852" spans="1:25" ht="75">
      <c r="A852" s="298"/>
      <c r="B852" s="299"/>
      <c r="C852" s="298"/>
      <c r="D852" s="291"/>
      <c r="E852" s="81" t="s">
        <v>599</v>
      </c>
      <c r="F852" s="81"/>
      <c r="G852" s="81"/>
      <c r="H852" s="81"/>
      <c r="I852" s="226">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13"/>
        <v>0</v>
      </c>
    </row>
    <row r="853" spans="1:25" ht="36" hidden="1">
      <c r="A853" s="298"/>
      <c r="B853" s="299"/>
      <c r="C853" s="298"/>
      <c r="D853" s="291"/>
      <c r="E853" s="81" t="s">
        <v>957</v>
      </c>
      <c r="F853" s="81"/>
      <c r="G853" s="81"/>
      <c r="H853" s="81"/>
      <c r="I853" s="226">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13"/>
        <v>0</v>
      </c>
    </row>
    <row r="854" spans="1:25" ht="54" hidden="1">
      <c r="A854" s="298"/>
      <c r="B854" s="299"/>
      <c r="C854" s="298"/>
      <c r="D854" s="291"/>
      <c r="E854" s="81" t="s">
        <v>958</v>
      </c>
      <c r="F854" s="81"/>
      <c r="G854" s="81"/>
      <c r="H854" s="81"/>
      <c r="I854" s="226">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13"/>
        <v>0</v>
      </c>
    </row>
    <row r="855" spans="1:25" ht="54" hidden="1">
      <c r="A855" s="298"/>
      <c r="B855" s="299"/>
      <c r="C855" s="298"/>
      <c r="D855" s="291"/>
      <c r="E855" s="81" t="s">
        <v>959</v>
      </c>
      <c r="F855" s="81"/>
      <c r="G855" s="81"/>
      <c r="H855" s="81"/>
      <c r="I855" s="226">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13"/>
        <v>0</v>
      </c>
    </row>
    <row r="856" spans="1:25" ht="75">
      <c r="A856" s="298"/>
      <c r="B856" s="299"/>
      <c r="C856" s="298"/>
      <c r="D856" s="291"/>
      <c r="E856" s="81" t="s">
        <v>610</v>
      </c>
      <c r="F856" s="81"/>
      <c r="G856" s="81"/>
      <c r="H856" s="81"/>
      <c r="I856" s="226">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13"/>
        <v>97342.09</v>
      </c>
    </row>
    <row r="857" spans="1:25" ht="75">
      <c r="A857" s="298"/>
      <c r="B857" s="299"/>
      <c r="C857" s="298"/>
      <c r="D857" s="291"/>
      <c r="E857" s="81" t="s">
        <v>1048</v>
      </c>
      <c r="F857" s="81"/>
      <c r="G857" s="81"/>
      <c r="H857" s="81"/>
      <c r="I857" s="226">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13"/>
        <v>16000</v>
      </c>
    </row>
    <row r="858" spans="1:25" ht="75">
      <c r="A858" s="298"/>
      <c r="B858" s="299"/>
      <c r="C858" s="298"/>
      <c r="D858" s="291"/>
      <c r="E858" s="81" t="s">
        <v>992</v>
      </c>
      <c r="F858" s="81"/>
      <c r="G858" s="81"/>
      <c r="H858" s="81"/>
      <c r="I858" s="226">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13"/>
        <v>0</v>
      </c>
    </row>
    <row r="859" spans="1:25" ht="75">
      <c r="A859" s="298"/>
      <c r="B859" s="299"/>
      <c r="C859" s="298"/>
      <c r="D859" s="291"/>
      <c r="E859" s="81" t="s">
        <v>1047</v>
      </c>
      <c r="F859" s="81"/>
      <c r="G859" s="81"/>
      <c r="H859" s="81"/>
      <c r="I859" s="226">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13"/>
        <v>0</v>
      </c>
    </row>
    <row r="860" spans="1:25" ht="43.5" customHeight="1">
      <c r="A860" s="298"/>
      <c r="B860" s="299"/>
      <c r="C860" s="298"/>
      <c r="D860" s="291"/>
      <c r="E860" s="82" t="s">
        <v>617</v>
      </c>
      <c r="F860" s="82"/>
      <c r="G860" s="82"/>
      <c r="H860" s="82"/>
      <c r="I860" s="226"/>
      <c r="J860" s="79">
        <f>SUM(J861:J876)</f>
        <v>1300000</v>
      </c>
      <c r="K860" s="79">
        <f aca="true" t="shared" si="114" ref="K860:X860">SUM(K861:K876)</f>
        <v>0</v>
      </c>
      <c r="L860" s="79">
        <f t="shared" si="114"/>
        <v>0</v>
      </c>
      <c r="M860" s="79">
        <f t="shared" si="114"/>
        <v>0</v>
      </c>
      <c r="N860" s="79">
        <f t="shared" si="114"/>
        <v>15000</v>
      </c>
      <c r="O860" s="79">
        <f t="shared" si="114"/>
        <v>0</v>
      </c>
      <c r="P860" s="79">
        <f t="shared" si="114"/>
        <v>0</v>
      </c>
      <c r="Q860" s="79">
        <f t="shared" si="114"/>
        <v>80000</v>
      </c>
      <c r="R860" s="79">
        <f t="shared" si="114"/>
        <v>150000</v>
      </c>
      <c r="S860" s="79">
        <f t="shared" si="114"/>
        <v>50000</v>
      </c>
      <c r="T860" s="79">
        <f t="shared" si="114"/>
        <v>0</v>
      </c>
      <c r="U860" s="79">
        <f t="shared" si="114"/>
        <v>100000</v>
      </c>
      <c r="V860" s="79">
        <f t="shared" si="114"/>
        <v>905000</v>
      </c>
      <c r="W860" s="79">
        <f t="shared" si="114"/>
        <v>0</v>
      </c>
      <c r="X860" s="79">
        <f t="shared" si="114"/>
        <v>14790</v>
      </c>
      <c r="Y860" s="29">
        <f t="shared" si="113"/>
        <v>230210</v>
      </c>
    </row>
    <row r="861" spans="1:25" ht="37.5">
      <c r="A861" s="298"/>
      <c r="B861" s="299"/>
      <c r="C861" s="298"/>
      <c r="D861" s="291"/>
      <c r="E861" s="81" t="s">
        <v>138</v>
      </c>
      <c r="F861" s="81"/>
      <c r="G861" s="81"/>
      <c r="H861" s="81"/>
      <c r="I861" s="226">
        <v>3210</v>
      </c>
      <c r="J861" s="47">
        <v>80000</v>
      </c>
      <c r="K861" s="29"/>
      <c r="L861" s="29"/>
      <c r="M861" s="29"/>
      <c r="N861" s="29"/>
      <c r="O861" s="29"/>
      <c r="P861" s="29"/>
      <c r="Q861" s="29">
        <v>80000</v>
      </c>
      <c r="R861" s="29"/>
      <c r="S861" s="29"/>
      <c r="T861" s="29"/>
      <c r="U861" s="29"/>
      <c r="V861" s="29"/>
      <c r="W861" s="29">
        <f t="shared" si="111"/>
        <v>0</v>
      </c>
      <c r="X861" s="29"/>
      <c r="Y861" s="29">
        <f t="shared" si="113"/>
        <v>80000</v>
      </c>
    </row>
    <row r="862" spans="1:25" ht="37.5">
      <c r="A862" s="298"/>
      <c r="B862" s="299"/>
      <c r="C862" s="298"/>
      <c r="D862" s="291"/>
      <c r="E862" s="81" t="s">
        <v>139</v>
      </c>
      <c r="F862" s="81"/>
      <c r="G862" s="81"/>
      <c r="H862" s="81"/>
      <c r="I862" s="226">
        <v>3210</v>
      </c>
      <c r="J862" s="47">
        <v>15000</v>
      </c>
      <c r="K862" s="29"/>
      <c r="L862" s="29"/>
      <c r="M862" s="29"/>
      <c r="N862" s="29">
        <v>15000</v>
      </c>
      <c r="O862" s="29"/>
      <c r="P862" s="29"/>
      <c r="Q862" s="29"/>
      <c r="R862" s="29"/>
      <c r="S862" s="29"/>
      <c r="T862" s="29"/>
      <c r="U862" s="29"/>
      <c r="V862" s="29"/>
      <c r="W862" s="29">
        <f t="shared" si="111"/>
        <v>0</v>
      </c>
      <c r="X862" s="29">
        <v>14790</v>
      </c>
      <c r="Y862" s="29">
        <f t="shared" si="113"/>
        <v>210</v>
      </c>
    </row>
    <row r="863" spans="1:25" ht="37.5">
      <c r="A863" s="298"/>
      <c r="B863" s="299"/>
      <c r="C863" s="298"/>
      <c r="D863" s="291"/>
      <c r="E863" s="81" t="s">
        <v>140</v>
      </c>
      <c r="F863" s="81"/>
      <c r="G863" s="81"/>
      <c r="H863" s="81"/>
      <c r="I863" s="226">
        <v>3210</v>
      </c>
      <c r="J863" s="47">
        <v>10000</v>
      </c>
      <c r="K863" s="29"/>
      <c r="L863" s="29"/>
      <c r="M863" s="29"/>
      <c r="N863" s="29"/>
      <c r="O863" s="29"/>
      <c r="P863" s="29"/>
      <c r="Q863" s="29"/>
      <c r="R863" s="29"/>
      <c r="S863" s="29"/>
      <c r="T863" s="29"/>
      <c r="U863" s="29"/>
      <c r="V863" s="29">
        <v>10000</v>
      </c>
      <c r="W863" s="29">
        <f t="shared" si="111"/>
        <v>0</v>
      </c>
      <c r="X863" s="29"/>
      <c r="Y863" s="29">
        <f t="shared" si="113"/>
        <v>0</v>
      </c>
    </row>
    <row r="864" spans="1:25" ht="18.75">
      <c r="A864" s="298"/>
      <c r="B864" s="299"/>
      <c r="C864" s="298"/>
      <c r="D864" s="291"/>
      <c r="E864" s="81" t="s">
        <v>141</v>
      </c>
      <c r="F864" s="81"/>
      <c r="G864" s="81"/>
      <c r="H864" s="81"/>
      <c r="I864" s="226">
        <v>3210</v>
      </c>
      <c r="J864" s="47">
        <v>7000</v>
      </c>
      <c r="K864" s="29"/>
      <c r="L864" s="29"/>
      <c r="M864" s="29"/>
      <c r="N864" s="29"/>
      <c r="O864" s="29"/>
      <c r="P864" s="29"/>
      <c r="Q864" s="29"/>
      <c r="R864" s="29"/>
      <c r="S864" s="29"/>
      <c r="T864" s="29"/>
      <c r="U864" s="29"/>
      <c r="V864" s="29">
        <v>7000</v>
      </c>
      <c r="W864" s="29">
        <f t="shared" si="111"/>
        <v>0</v>
      </c>
      <c r="X864" s="29"/>
      <c r="Y864" s="29">
        <f t="shared" si="113"/>
        <v>0</v>
      </c>
    </row>
    <row r="865" spans="1:25" ht="18.75">
      <c r="A865" s="298"/>
      <c r="B865" s="299"/>
      <c r="C865" s="298"/>
      <c r="D865" s="291"/>
      <c r="E865" s="81" t="s">
        <v>142</v>
      </c>
      <c r="F865" s="81"/>
      <c r="G865" s="81"/>
      <c r="H865" s="81"/>
      <c r="I865" s="226">
        <v>3210</v>
      </c>
      <c r="J865" s="47">
        <v>7000</v>
      </c>
      <c r="K865" s="29"/>
      <c r="L865" s="29"/>
      <c r="M865" s="29"/>
      <c r="N865" s="29"/>
      <c r="O865" s="29"/>
      <c r="P865" s="29"/>
      <c r="Q865" s="29"/>
      <c r="R865" s="29"/>
      <c r="S865" s="29"/>
      <c r="T865" s="29"/>
      <c r="U865" s="29"/>
      <c r="V865" s="29">
        <v>7000</v>
      </c>
      <c r="W865" s="29">
        <f t="shared" si="111"/>
        <v>0</v>
      </c>
      <c r="X865" s="29"/>
      <c r="Y865" s="29">
        <f t="shared" si="113"/>
        <v>0</v>
      </c>
    </row>
    <row r="866" spans="1:25" ht="37.5">
      <c r="A866" s="298"/>
      <c r="B866" s="299"/>
      <c r="C866" s="298"/>
      <c r="D866" s="291"/>
      <c r="E866" s="81" t="s">
        <v>594</v>
      </c>
      <c r="F866" s="81"/>
      <c r="G866" s="81"/>
      <c r="H866" s="81"/>
      <c r="I866" s="226">
        <v>3210</v>
      </c>
      <c r="J866" s="47">
        <v>81000</v>
      </c>
      <c r="K866" s="29"/>
      <c r="L866" s="29"/>
      <c r="M866" s="29"/>
      <c r="N866" s="29"/>
      <c r="O866" s="29"/>
      <c r="P866" s="29"/>
      <c r="Q866" s="29"/>
      <c r="R866" s="29"/>
      <c r="S866" s="29"/>
      <c r="T866" s="29"/>
      <c r="U866" s="29"/>
      <c r="V866" s="29">
        <v>81000</v>
      </c>
      <c r="W866" s="29">
        <f t="shared" si="111"/>
        <v>0</v>
      </c>
      <c r="X866" s="29"/>
      <c r="Y866" s="29">
        <f t="shared" si="113"/>
        <v>0</v>
      </c>
    </row>
    <row r="867" spans="1:25" ht="56.25">
      <c r="A867" s="298"/>
      <c r="B867" s="299"/>
      <c r="C867" s="298"/>
      <c r="D867" s="291"/>
      <c r="E867" s="81" t="s">
        <v>502</v>
      </c>
      <c r="F867" s="81"/>
      <c r="G867" s="81"/>
      <c r="H867" s="81"/>
      <c r="I867" s="226">
        <v>3210</v>
      </c>
      <c r="J867" s="47">
        <v>700000</v>
      </c>
      <c r="K867" s="29"/>
      <c r="L867" s="29"/>
      <c r="M867" s="29"/>
      <c r="N867" s="29"/>
      <c r="O867" s="29"/>
      <c r="P867" s="29"/>
      <c r="Q867" s="29"/>
      <c r="R867" s="29"/>
      <c r="S867" s="29"/>
      <c r="T867" s="29"/>
      <c r="U867" s="29"/>
      <c r="V867" s="29">
        <v>700000</v>
      </c>
      <c r="W867" s="29">
        <f t="shared" si="111"/>
        <v>0</v>
      </c>
      <c r="X867" s="29"/>
      <c r="Y867" s="29">
        <f t="shared" si="113"/>
        <v>0</v>
      </c>
    </row>
    <row r="868" spans="1:25" ht="36" hidden="1">
      <c r="A868" s="298"/>
      <c r="B868" s="299"/>
      <c r="C868" s="298"/>
      <c r="D868" s="291"/>
      <c r="E868" s="81" t="s">
        <v>581</v>
      </c>
      <c r="F868" s="81"/>
      <c r="G868" s="81"/>
      <c r="H868" s="81"/>
      <c r="I868" s="226">
        <v>3210</v>
      </c>
      <c r="J868" s="47">
        <f>50000-50000</f>
        <v>0</v>
      </c>
      <c r="K868" s="29"/>
      <c r="L868" s="29"/>
      <c r="M868" s="29"/>
      <c r="N868" s="29"/>
      <c r="O868" s="29"/>
      <c r="P868" s="29"/>
      <c r="Q868" s="29"/>
      <c r="R868" s="29"/>
      <c r="S868" s="29"/>
      <c r="T868" s="29"/>
      <c r="U868" s="29">
        <f>50000-50000</f>
        <v>0</v>
      </c>
      <c r="V868" s="29"/>
      <c r="W868" s="29">
        <f t="shared" si="111"/>
        <v>0</v>
      </c>
      <c r="X868" s="29"/>
      <c r="Y868" s="29">
        <f t="shared" si="113"/>
        <v>0</v>
      </c>
    </row>
    <row r="869" spans="1:25" ht="56.25">
      <c r="A869" s="298"/>
      <c r="B869" s="299"/>
      <c r="C869" s="298"/>
      <c r="D869" s="291"/>
      <c r="E869" s="81" t="s">
        <v>582</v>
      </c>
      <c r="F869" s="81"/>
      <c r="G869" s="81"/>
      <c r="H869" s="81"/>
      <c r="I869" s="226">
        <v>3210</v>
      </c>
      <c r="J869" s="47">
        <v>50000</v>
      </c>
      <c r="K869" s="29"/>
      <c r="L869" s="29"/>
      <c r="M869" s="29"/>
      <c r="N869" s="29"/>
      <c r="O869" s="29"/>
      <c r="P869" s="29"/>
      <c r="Q869" s="29"/>
      <c r="R869" s="29"/>
      <c r="S869" s="29"/>
      <c r="T869" s="29"/>
      <c r="U869" s="29">
        <v>50000</v>
      </c>
      <c r="V869" s="29"/>
      <c r="W869" s="29">
        <f t="shared" si="111"/>
        <v>0</v>
      </c>
      <c r="X869" s="29"/>
      <c r="Y869" s="29">
        <f t="shared" si="113"/>
        <v>0</v>
      </c>
    </row>
    <row r="870" spans="1:25" ht="56.25">
      <c r="A870" s="298"/>
      <c r="B870" s="299"/>
      <c r="C870" s="298"/>
      <c r="D870" s="291"/>
      <c r="E870" s="81" t="s">
        <v>583</v>
      </c>
      <c r="F870" s="81"/>
      <c r="G870" s="81"/>
      <c r="H870" s="81"/>
      <c r="I870" s="226">
        <v>3210</v>
      </c>
      <c r="J870" s="47">
        <v>50000</v>
      </c>
      <c r="K870" s="29"/>
      <c r="L870" s="29"/>
      <c r="M870" s="29"/>
      <c r="N870" s="29"/>
      <c r="O870" s="29"/>
      <c r="P870" s="29"/>
      <c r="Q870" s="29"/>
      <c r="R870" s="29"/>
      <c r="S870" s="29"/>
      <c r="T870" s="29"/>
      <c r="U870" s="29">
        <v>50000</v>
      </c>
      <c r="V870" s="29"/>
      <c r="W870" s="29">
        <f t="shared" si="111"/>
        <v>0</v>
      </c>
      <c r="X870" s="29"/>
      <c r="Y870" s="29">
        <f t="shared" si="113"/>
        <v>0</v>
      </c>
    </row>
    <row r="871" spans="1:25" ht="56.25">
      <c r="A871" s="298"/>
      <c r="B871" s="299"/>
      <c r="C871" s="298"/>
      <c r="D871" s="291"/>
      <c r="E871" s="81" t="s">
        <v>584</v>
      </c>
      <c r="F871" s="81"/>
      <c r="G871" s="81"/>
      <c r="H871" s="81"/>
      <c r="I871" s="226">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298"/>
      <c r="B872" s="299"/>
      <c r="C872" s="298"/>
      <c r="D872" s="291"/>
      <c r="E872" s="81" t="s">
        <v>110</v>
      </c>
      <c r="F872" s="81"/>
      <c r="G872" s="81"/>
      <c r="H872" s="81"/>
      <c r="I872" s="226">
        <v>3210</v>
      </c>
      <c r="J872" s="47">
        <v>50000</v>
      </c>
      <c r="K872" s="29"/>
      <c r="L872" s="29"/>
      <c r="M872" s="29"/>
      <c r="N872" s="29"/>
      <c r="O872" s="29"/>
      <c r="P872" s="29"/>
      <c r="Q872" s="29"/>
      <c r="R872" s="29">
        <v>50000</v>
      </c>
      <c r="S872" s="29"/>
      <c r="T872" s="29"/>
      <c r="U872" s="29"/>
      <c r="V872" s="29"/>
      <c r="W872" s="29">
        <f t="shared" si="111"/>
        <v>0</v>
      </c>
      <c r="X872" s="29"/>
      <c r="Y872" s="29">
        <f t="shared" si="113"/>
        <v>50000</v>
      </c>
    </row>
    <row r="873" spans="1:25" ht="56.25">
      <c r="A873" s="298"/>
      <c r="B873" s="299"/>
      <c r="C873" s="298"/>
      <c r="D873" s="291"/>
      <c r="E873" s="81" t="s">
        <v>585</v>
      </c>
      <c r="F873" s="81"/>
      <c r="G873" s="81"/>
      <c r="H873" s="81"/>
      <c r="I873" s="226">
        <v>3210</v>
      </c>
      <c r="J873" s="47">
        <v>50000</v>
      </c>
      <c r="K873" s="29"/>
      <c r="L873" s="29"/>
      <c r="M873" s="29"/>
      <c r="N873" s="29"/>
      <c r="O873" s="29"/>
      <c r="P873" s="29"/>
      <c r="Q873" s="29"/>
      <c r="R873" s="29">
        <v>50000</v>
      </c>
      <c r="S873" s="29"/>
      <c r="T873" s="29"/>
      <c r="U873" s="29"/>
      <c r="V873" s="29"/>
      <c r="W873" s="29">
        <f t="shared" si="111"/>
        <v>0</v>
      </c>
      <c r="X873" s="29"/>
      <c r="Y873" s="29">
        <f t="shared" si="113"/>
        <v>50000</v>
      </c>
    </row>
    <row r="874" spans="1:25" ht="75">
      <c r="A874" s="298"/>
      <c r="B874" s="299"/>
      <c r="C874" s="298"/>
      <c r="D874" s="291"/>
      <c r="E874" s="81" t="s">
        <v>559</v>
      </c>
      <c r="F874" s="81"/>
      <c r="G874" s="81"/>
      <c r="H874" s="81"/>
      <c r="I874" s="226">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 t="shared" si="113"/>
        <v>0</v>
      </c>
    </row>
    <row r="875" spans="1:25" ht="75">
      <c r="A875" s="298"/>
      <c r="B875" s="299"/>
      <c r="C875" s="298"/>
      <c r="D875" s="291"/>
      <c r="E875" s="81" t="s">
        <v>560</v>
      </c>
      <c r="F875" s="81"/>
      <c r="G875" s="81"/>
      <c r="H875" s="81"/>
      <c r="I875" s="226">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 t="shared" si="113"/>
        <v>0</v>
      </c>
    </row>
    <row r="876" spans="1:25" ht="56.25">
      <c r="A876" s="298"/>
      <c r="B876" s="299"/>
      <c r="C876" s="298"/>
      <c r="D876" s="291"/>
      <c r="E876" s="81" t="s">
        <v>965</v>
      </c>
      <c r="F876" s="81"/>
      <c r="G876" s="81"/>
      <c r="H876" s="81"/>
      <c r="I876" s="226">
        <v>3210</v>
      </c>
      <c r="J876" s="47">
        <v>50000</v>
      </c>
      <c r="K876" s="29"/>
      <c r="L876" s="29"/>
      <c r="M876" s="29"/>
      <c r="N876" s="29"/>
      <c r="O876" s="29"/>
      <c r="P876" s="29"/>
      <c r="Q876" s="29"/>
      <c r="R876" s="29"/>
      <c r="S876" s="29">
        <v>50000</v>
      </c>
      <c r="T876" s="29"/>
      <c r="U876" s="29"/>
      <c r="V876" s="29"/>
      <c r="W876" s="29">
        <f t="shared" si="111"/>
        <v>0</v>
      </c>
      <c r="X876" s="29"/>
      <c r="Y876" s="29">
        <f t="shared" si="113"/>
        <v>0</v>
      </c>
    </row>
    <row r="877" spans="1:25" ht="56.25">
      <c r="A877" s="298"/>
      <c r="B877" s="299"/>
      <c r="C877" s="298"/>
      <c r="D877" s="291"/>
      <c r="E877" s="30" t="s">
        <v>966</v>
      </c>
      <c r="F877" s="30"/>
      <c r="G877" s="30"/>
      <c r="H877" s="30"/>
      <c r="I877" s="226"/>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3"/>
        <v>30769.780000000028</v>
      </c>
    </row>
    <row r="878" spans="1:25" ht="62.25" customHeight="1">
      <c r="A878" s="298"/>
      <c r="B878" s="299"/>
      <c r="C878" s="298"/>
      <c r="D878" s="291"/>
      <c r="E878" s="28" t="s">
        <v>152</v>
      </c>
      <c r="F878" s="28"/>
      <c r="G878" s="28"/>
      <c r="H878" s="28"/>
      <c r="I878" s="226">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3"/>
        <v>8942.780000000028</v>
      </c>
    </row>
    <row r="879" spans="1:25" ht="62.25" customHeight="1">
      <c r="A879" s="298"/>
      <c r="B879" s="299"/>
      <c r="C879" s="298"/>
      <c r="D879" s="291"/>
      <c r="E879" s="28" t="s">
        <v>16</v>
      </c>
      <c r="F879" s="28"/>
      <c r="G879" s="28"/>
      <c r="H879" s="28"/>
      <c r="I879" s="226">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3"/>
        <v>0</v>
      </c>
    </row>
    <row r="880" spans="1:25" ht="62.25" customHeight="1">
      <c r="A880" s="298"/>
      <c r="B880" s="299"/>
      <c r="C880" s="298"/>
      <c r="D880" s="291"/>
      <c r="E880" s="28" t="s">
        <v>154</v>
      </c>
      <c r="F880" s="28"/>
      <c r="G880" s="28"/>
      <c r="H880" s="28"/>
      <c r="I880" s="226">
        <v>3210</v>
      </c>
      <c r="J880" s="47">
        <v>42781</v>
      </c>
      <c r="K880" s="29"/>
      <c r="L880" s="29"/>
      <c r="M880" s="29">
        <v>42781</v>
      </c>
      <c r="N880" s="29"/>
      <c r="O880" s="29"/>
      <c r="P880" s="29"/>
      <c r="Q880" s="29"/>
      <c r="R880" s="29"/>
      <c r="S880" s="29"/>
      <c r="T880" s="29"/>
      <c r="U880" s="29"/>
      <c r="V880" s="29"/>
      <c r="W880" s="29">
        <f t="shared" si="111"/>
        <v>0</v>
      </c>
      <c r="X880" s="29">
        <v>20954</v>
      </c>
      <c r="Y880" s="29">
        <f t="shared" si="113"/>
        <v>21827</v>
      </c>
    </row>
    <row r="881" spans="1:25" ht="56.25">
      <c r="A881" s="298"/>
      <c r="B881" s="299"/>
      <c r="C881" s="298"/>
      <c r="D881" s="291"/>
      <c r="E881" s="30" t="s">
        <v>969</v>
      </c>
      <c r="F881" s="30"/>
      <c r="G881" s="30"/>
      <c r="H881" s="30"/>
      <c r="I881" s="226"/>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0</v>
      </c>
      <c r="S881" s="79">
        <f t="shared" si="116"/>
        <v>0</v>
      </c>
      <c r="T881" s="79">
        <f t="shared" si="116"/>
        <v>977000</v>
      </c>
      <c r="U881" s="79">
        <f t="shared" si="116"/>
        <v>0</v>
      </c>
      <c r="V881" s="79">
        <f t="shared" si="116"/>
        <v>360500</v>
      </c>
      <c r="W881" s="79">
        <f t="shared" si="116"/>
        <v>0</v>
      </c>
      <c r="X881" s="79">
        <f t="shared" si="116"/>
        <v>73710.16</v>
      </c>
      <c r="Y881" s="29">
        <f t="shared" si="113"/>
        <v>526289.84</v>
      </c>
    </row>
    <row r="882" spans="1:25" ht="75">
      <c r="A882" s="298"/>
      <c r="B882" s="299"/>
      <c r="C882" s="298"/>
      <c r="D882" s="291"/>
      <c r="E882" s="28" t="s">
        <v>155</v>
      </c>
      <c r="F882" s="28"/>
      <c r="G882" s="28"/>
      <c r="H882" s="28"/>
      <c r="I882" s="226">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3"/>
        <v>100000</v>
      </c>
    </row>
    <row r="883" spans="1:25" ht="37.5">
      <c r="A883" s="298"/>
      <c r="B883" s="299"/>
      <c r="C883" s="298"/>
      <c r="D883" s="291"/>
      <c r="E883" s="28" t="s">
        <v>536</v>
      </c>
      <c r="F883" s="28"/>
      <c r="G883" s="28"/>
      <c r="H883" s="28"/>
      <c r="I883" s="226">
        <v>3210</v>
      </c>
      <c r="J883" s="47">
        <v>477000</v>
      </c>
      <c r="K883" s="29"/>
      <c r="L883" s="29"/>
      <c r="M883" s="29"/>
      <c r="N883" s="29"/>
      <c r="O883" s="29"/>
      <c r="P883" s="29"/>
      <c r="Q883" s="29"/>
      <c r="R883" s="182">
        <f>-500000</f>
        <v>-500000</v>
      </c>
      <c r="S883" s="182"/>
      <c r="T883" s="182">
        <f>477000+500000</f>
        <v>977000</v>
      </c>
      <c r="U883" s="182"/>
      <c r="V883" s="182"/>
      <c r="W883" s="29">
        <f>J883-K883-L883-M883-N883-O883-P883-Q883-R883-S883-T883-U883-V883</f>
        <v>0</v>
      </c>
      <c r="X883" s="29"/>
      <c r="Y883" s="29">
        <f t="shared" si="113"/>
        <v>-500000</v>
      </c>
    </row>
    <row r="884" spans="1:25" ht="37.5">
      <c r="A884" s="298"/>
      <c r="B884" s="299"/>
      <c r="C884" s="298"/>
      <c r="D884" s="291"/>
      <c r="E884" s="28" t="s">
        <v>5</v>
      </c>
      <c r="F884" s="28"/>
      <c r="G884" s="28"/>
      <c r="H884" s="28"/>
      <c r="I884" s="226">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3"/>
        <v>926289.84</v>
      </c>
    </row>
    <row r="885" spans="1:25" ht="37.5">
      <c r="A885" s="298"/>
      <c r="B885" s="299"/>
      <c r="C885" s="298"/>
      <c r="D885" s="291"/>
      <c r="E885" s="59" t="s">
        <v>1076</v>
      </c>
      <c r="F885" s="59"/>
      <c r="G885" s="59"/>
      <c r="H885" s="59"/>
      <c r="I885" s="226"/>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3"/>
        <v>878171.3899999997</v>
      </c>
    </row>
    <row r="886" spans="1:25" ht="18.75">
      <c r="A886" s="298"/>
      <c r="B886" s="299"/>
      <c r="C886" s="298"/>
      <c r="D886" s="291"/>
      <c r="E886" s="174" t="s">
        <v>753</v>
      </c>
      <c r="F886" s="61"/>
      <c r="G886" s="61"/>
      <c r="H886" s="61"/>
      <c r="I886" s="226">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3"/>
        <v>188</v>
      </c>
    </row>
    <row r="887" spans="1:25" ht="37.5">
      <c r="A887" s="298"/>
      <c r="B887" s="299"/>
      <c r="C887" s="298"/>
      <c r="D887" s="291"/>
      <c r="E887" s="174" t="s">
        <v>1123</v>
      </c>
      <c r="F887" s="61"/>
      <c r="G887" s="61"/>
      <c r="H887" s="61"/>
      <c r="I887" s="226">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3"/>
        <v>0</v>
      </c>
    </row>
    <row r="888" spans="1:25" ht="37.5">
      <c r="A888" s="298"/>
      <c r="B888" s="299"/>
      <c r="C888" s="298"/>
      <c r="D888" s="291"/>
      <c r="E888" s="174" t="s">
        <v>711</v>
      </c>
      <c r="F888" s="61"/>
      <c r="G888" s="61"/>
      <c r="H888" s="61"/>
      <c r="I888" s="226">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3"/>
        <v>0</v>
      </c>
    </row>
    <row r="889" spans="1:25" ht="56.25">
      <c r="A889" s="298"/>
      <c r="B889" s="299"/>
      <c r="C889" s="298"/>
      <c r="D889" s="291"/>
      <c r="E889" s="174" t="s">
        <v>712</v>
      </c>
      <c r="F889" s="61"/>
      <c r="G889" s="61"/>
      <c r="H889" s="61"/>
      <c r="I889" s="226">
        <v>3210</v>
      </c>
      <c r="J889" s="54">
        <f>50000+300000</f>
        <v>350000</v>
      </c>
      <c r="K889" s="29"/>
      <c r="L889" s="29"/>
      <c r="M889" s="29"/>
      <c r="N889" s="29"/>
      <c r="O889" s="29"/>
      <c r="P889" s="29"/>
      <c r="Q889" s="29"/>
      <c r="R889" s="29"/>
      <c r="S889" s="29">
        <v>350000</v>
      </c>
      <c r="T889" s="29"/>
      <c r="U889" s="29"/>
      <c r="V889" s="29"/>
      <c r="W889" s="29">
        <f t="shared" si="111"/>
        <v>0</v>
      </c>
      <c r="X889" s="29"/>
      <c r="Y889" s="29">
        <f t="shared" si="113"/>
        <v>0</v>
      </c>
    </row>
    <row r="890" spans="1:25" ht="117" customHeight="1" hidden="1">
      <c r="A890" s="298"/>
      <c r="B890" s="299"/>
      <c r="C890" s="298"/>
      <c r="D890" s="291"/>
      <c r="E890" s="192" t="s">
        <v>1027</v>
      </c>
      <c r="F890" s="192"/>
      <c r="G890" s="192"/>
      <c r="H890" s="192"/>
      <c r="I890" s="247">
        <v>3210</v>
      </c>
      <c r="J890" s="207">
        <f>15000-15000</f>
        <v>0</v>
      </c>
      <c r="K890" s="180"/>
      <c r="L890" s="180">
        <v>15000</v>
      </c>
      <c r="M890" s="180"/>
      <c r="N890" s="180"/>
      <c r="O890" s="180"/>
      <c r="P890" s="180"/>
      <c r="Q890" s="180">
        <v>-15000</v>
      </c>
      <c r="R890" s="180"/>
      <c r="S890" s="180"/>
      <c r="T890" s="180"/>
      <c r="U890" s="180"/>
      <c r="V890" s="180"/>
      <c r="W890" s="29">
        <f t="shared" si="111"/>
        <v>0</v>
      </c>
      <c r="X890" s="29"/>
      <c r="Y890" s="29">
        <f t="shared" si="113"/>
        <v>0</v>
      </c>
    </row>
    <row r="891" spans="1:25" ht="136.5" customHeight="1">
      <c r="A891" s="298"/>
      <c r="B891" s="299"/>
      <c r="C891" s="298"/>
      <c r="D891" s="291"/>
      <c r="E891" s="192" t="s">
        <v>76</v>
      </c>
      <c r="F891" s="192"/>
      <c r="G891" s="192"/>
      <c r="H891" s="192"/>
      <c r="I891" s="247">
        <v>3210</v>
      </c>
      <c r="J891" s="207">
        <v>15000</v>
      </c>
      <c r="K891" s="180"/>
      <c r="L891" s="180">
        <v>15000</v>
      </c>
      <c r="M891" s="180"/>
      <c r="N891" s="180"/>
      <c r="O891" s="180"/>
      <c r="P891" s="180"/>
      <c r="Q891" s="180"/>
      <c r="R891" s="180"/>
      <c r="S891" s="180"/>
      <c r="T891" s="180"/>
      <c r="U891" s="180"/>
      <c r="V891" s="180"/>
      <c r="W891" s="29">
        <f t="shared" si="111"/>
        <v>0</v>
      </c>
      <c r="X891" s="29">
        <v>15000</v>
      </c>
      <c r="Y891" s="29">
        <f t="shared" si="113"/>
        <v>0</v>
      </c>
    </row>
    <row r="892" spans="1:25" ht="195" customHeight="1">
      <c r="A892" s="298"/>
      <c r="B892" s="299"/>
      <c r="C892" s="298"/>
      <c r="D892" s="291"/>
      <c r="E892" s="192" t="s">
        <v>705</v>
      </c>
      <c r="F892" s="192"/>
      <c r="G892" s="192"/>
      <c r="H892" s="192"/>
      <c r="I892" s="247">
        <v>3210</v>
      </c>
      <c r="J892" s="207">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3"/>
        <v>547682.88</v>
      </c>
    </row>
    <row r="893" spans="1:25" ht="56.25">
      <c r="A893" s="298"/>
      <c r="B893" s="299"/>
      <c r="C893" s="298"/>
      <c r="D893" s="291"/>
      <c r="E893" s="61" t="s">
        <v>556</v>
      </c>
      <c r="F893" s="61"/>
      <c r="G893" s="61"/>
      <c r="H893" s="61"/>
      <c r="I893" s="234">
        <v>3210</v>
      </c>
      <c r="J893" s="54">
        <v>180000</v>
      </c>
      <c r="K893" s="29"/>
      <c r="L893" s="29"/>
      <c r="M893" s="29"/>
      <c r="N893" s="29"/>
      <c r="O893" s="29"/>
      <c r="P893" s="29"/>
      <c r="Q893" s="29"/>
      <c r="R893" s="29"/>
      <c r="S893" s="29"/>
      <c r="T893" s="29"/>
      <c r="U893" s="29">
        <v>130000</v>
      </c>
      <c r="V893" s="29">
        <v>50000</v>
      </c>
      <c r="W893" s="29">
        <f t="shared" si="111"/>
        <v>0</v>
      </c>
      <c r="X893" s="29"/>
      <c r="Y893" s="29">
        <f t="shared" si="113"/>
        <v>0</v>
      </c>
    </row>
    <row r="894" spans="1:25" ht="56.25">
      <c r="A894" s="298"/>
      <c r="B894" s="299"/>
      <c r="C894" s="298"/>
      <c r="D894" s="291"/>
      <c r="E894" s="61" t="s">
        <v>557</v>
      </c>
      <c r="F894" s="61"/>
      <c r="G894" s="61"/>
      <c r="H894" s="61"/>
      <c r="I894" s="234">
        <v>3210</v>
      </c>
      <c r="J894" s="54">
        <v>120000</v>
      </c>
      <c r="K894" s="29"/>
      <c r="L894" s="29"/>
      <c r="M894" s="29"/>
      <c r="N894" s="29"/>
      <c r="O894" s="29"/>
      <c r="P894" s="29"/>
      <c r="Q894" s="29"/>
      <c r="R894" s="29"/>
      <c r="S894" s="29"/>
      <c r="T894" s="29"/>
      <c r="U894" s="29">
        <v>70000</v>
      </c>
      <c r="V894" s="29">
        <v>50000</v>
      </c>
      <c r="W894" s="29">
        <f t="shared" si="111"/>
        <v>0</v>
      </c>
      <c r="X894" s="29"/>
      <c r="Y894" s="29">
        <f t="shared" si="113"/>
        <v>0</v>
      </c>
    </row>
    <row r="895" spans="1:25" ht="77.25" customHeight="1">
      <c r="A895" s="298"/>
      <c r="B895" s="299"/>
      <c r="C895" s="298"/>
      <c r="D895" s="291"/>
      <c r="E895" s="28" t="s">
        <v>435</v>
      </c>
      <c r="F895" s="28"/>
      <c r="G895" s="28"/>
      <c r="H895" s="28"/>
      <c r="I895" s="226">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3"/>
        <v>0</v>
      </c>
    </row>
    <row r="896" spans="1:25" ht="56.25">
      <c r="A896" s="298"/>
      <c r="B896" s="299"/>
      <c r="C896" s="298"/>
      <c r="D896" s="291"/>
      <c r="E896" s="61" t="s">
        <v>446</v>
      </c>
      <c r="F896" s="61"/>
      <c r="G896" s="61"/>
      <c r="H896" s="61"/>
      <c r="I896" s="234">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3"/>
        <v>0</v>
      </c>
    </row>
    <row r="897" spans="1:25" ht="56.25">
      <c r="A897" s="298"/>
      <c r="B897" s="299"/>
      <c r="C897" s="298"/>
      <c r="D897" s="291"/>
      <c r="E897" s="61" t="s">
        <v>216</v>
      </c>
      <c r="F897" s="61"/>
      <c r="G897" s="61"/>
      <c r="H897" s="61"/>
      <c r="I897" s="226">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3"/>
        <v>139057.51</v>
      </c>
    </row>
    <row r="898" spans="1:25" ht="54" hidden="1">
      <c r="A898" s="298"/>
      <c r="B898" s="299"/>
      <c r="C898" s="298"/>
      <c r="D898" s="291"/>
      <c r="E898" s="28" t="s">
        <v>153</v>
      </c>
      <c r="F898" s="28"/>
      <c r="G898" s="28"/>
      <c r="H898" s="28"/>
      <c r="I898" s="234">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3"/>
        <v>0</v>
      </c>
    </row>
    <row r="899" spans="1:25" ht="56.25">
      <c r="A899" s="298"/>
      <c r="B899" s="299"/>
      <c r="C899" s="298"/>
      <c r="D899" s="291"/>
      <c r="E899" s="61" t="s">
        <v>217</v>
      </c>
      <c r="F899" s="61"/>
      <c r="G899" s="61"/>
      <c r="H899" s="61"/>
      <c r="I899" s="226">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3"/>
        <v>191243</v>
      </c>
    </row>
    <row r="900" spans="1:25" ht="75">
      <c r="A900" s="298"/>
      <c r="B900" s="299"/>
      <c r="C900" s="298"/>
      <c r="D900" s="291"/>
      <c r="E900" s="61" t="s">
        <v>963</v>
      </c>
      <c r="F900" s="61"/>
      <c r="G900" s="61"/>
      <c r="H900" s="61"/>
      <c r="I900" s="234">
        <v>3210</v>
      </c>
      <c r="J900" s="54">
        <v>1135000</v>
      </c>
      <c r="K900" s="29"/>
      <c r="L900" s="29"/>
      <c r="M900" s="29"/>
      <c r="N900" s="29"/>
      <c r="O900" s="29"/>
      <c r="P900" s="29"/>
      <c r="Q900" s="29"/>
      <c r="R900" s="29"/>
      <c r="S900" s="29"/>
      <c r="T900" s="29"/>
      <c r="U900" s="29"/>
      <c r="V900" s="29">
        <v>1135000</v>
      </c>
      <c r="W900" s="29">
        <f t="shared" si="111"/>
        <v>0</v>
      </c>
      <c r="X900" s="29"/>
      <c r="Y900" s="29">
        <f t="shared" si="113"/>
        <v>0</v>
      </c>
    </row>
    <row r="901" spans="1:25" ht="56.25">
      <c r="A901" s="298"/>
      <c r="B901" s="299"/>
      <c r="C901" s="298"/>
      <c r="D901" s="291"/>
      <c r="E901" s="61" t="s">
        <v>964</v>
      </c>
      <c r="F901" s="61"/>
      <c r="G901" s="61"/>
      <c r="H901" s="61"/>
      <c r="I901" s="226">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3"/>
        <v>0</v>
      </c>
    </row>
    <row r="902" spans="1:25" ht="37.5">
      <c r="A902" s="298"/>
      <c r="B902" s="299"/>
      <c r="C902" s="298"/>
      <c r="D902" s="291"/>
      <c r="E902" s="30" t="s">
        <v>264</v>
      </c>
      <c r="F902" s="30"/>
      <c r="G902" s="30"/>
      <c r="H902" s="30"/>
      <c r="I902" s="234"/>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0</v>
      </c>
      <c r="T902" s="79">
        <f t="shared" si="118"/>
        <v>0</v>
      </c>
      <c r="U902" s="79">
        <f t="shared" si="118"/>
        <v>1180000</v>
      </c>
      <c r="V902" s="79">
        <f t="shared" si="118"/>
        <v>12741100</v>
      </c>
      <c r="W902" s="79">
        <f t="shared" si="118"/>
        <v>0</v>
      </c>
      <c r="X902" s="79">
        <f t="shared" si="118"/>
        <v>12704847.16</v>
      </c>
      <c r="Y902" s="29">
        <f aca="true" t="shared" si="119" ref="Y902:Y965">K902+L902+M902+N902+O902+P902+Q902+R902-X902</f>
        <v>11152.839999999851</v>
      </c>
    </row>
    <row r="903" spans="1:25" ht="37.5">
      <c r="A903" s="298"/>
      <c r="B903" s="299"/>
      <c r="C903" s="298"/>
      <c r="D903" s="291"/>
      <c r="E903" s="28" t="s">
        <v>265</v>
      </c>
      <c r="F903" s="28"/>
      <c r="G903" s="28"/>
      <c r="H903" s="28"/>
      <c r="I903" s="226">
        <v>3210</v>
      </c>
      <c r="J903" s="47">
        <v>1680000</v>
      </c>
      <c r="K903" s="29"/>
      <c r="L903" s="29"/>
      <c r="M903" s="29"/>
      <c r="N903" s="29"/>
      <c r="O903" s="29"/>
      <c r="P903" s="29"/>
      <c r="Q903" s="29"/>
      <c r="R903" s="29"/>
      <c r="S903" s="29"/>
      <c r="T903" s="29"/>
      <c r="U903" s="29"/>
      <c r="V903" s="29">
        <v>1680000</v>
      </c>
      <c r="W903" s="29">
        <f t="shared" si="111"/>
        <v>0</v>
      </c>
      <c r="X903" s="29"/>
      <c r="Y903" s="29">
        <f t="shared" si="119"/>
        <v>0</v>
      </c>
    </row>
    <row r="904" spans="1:25" ht="56.25">
      <c r="A904" s="298"/>
      <c r="B904" s="299"/>
      <c r="C904" s="298"/>
      <c r="D904" s="291"/>
      <c r="E904" s="28" t="s">
        <v>762</v>
      </c>
      <c r="F904" s="28"/>
      <c r="G904" s="28"/>
      <c r="H904" s="28"/>
      <c r="I904" s="234">
        <v>3210</v>
      </c>
      <c r="J904" s="47">
        <f>470000+6400</f>
        <v>476400</v>
      </c>
      <c r="K904" s="29"/>
      <c r="L904" s="29"/>
      <c r="M904" s="29"/>
      <c r="N904" s="29">
        <v>476400</v>
      </c>
      <c r="O904" s="29"/>
      <c r="P904" s="29"/>
      <c r="Q904" s="29">
        <f>-131400</f>
        <v>-131400</v>
      </c>
      <c r="R904" s="29"/>
      <c r="S904" s="29"/>
      <c r="T904" s="29"/>
      <c r="U904" s="29"/>
      <c r="V904" s="29">
        <f>131400</f>
        <v>131400</v>
      </c>
      <c r="W904" s="29">
        <f aca="true" t="shared" si="120" ref="W904:W970">J904-K904-L904-M904-N904-O904-P904-Q904-R904-S904-T904-U904-V904</f>
        <v>0</v>
      </c>
      <c r="X904" s="29">
        <f>345000</f>
        <v>345000</v>
      </c>
      <c r="Y904" s="29">
        <f t="shared" si="119"/>
        <v>0</v>
      </c>
    </row>
    <row r="905" spans="1:25" ht="21.75" customHeight="1">
      <c r="A905" s="298"/>
      <c r="B905" s="299"/>
      <c r="C905" s="298"/>
      <c r="D905" s="291"/>
      <c r="E905" s="28" t="s">
        <v>1122</v>
      </c>
      <c r="F905" s="28"/>
      <c r="G905" s="28"/>
      <c r="H905" s="28"/>
      <c r="I905" s="226">
        <v>3210</v>
      </c>
      <c r="J905" s="47">
        <v>725000</v>
      </c>
      <c r="K905" s="29"/>
      <c r="L905" s="29"/>
      <c r="M905" s="29"/>
      <c r="N905" s="29"/>
      <c r="O905" s="29"/>
      <c r="P905" s="29"/>
      <c r="Q905" s="29"/>
      <c r="R905" s="29"/>
      <c r="S905" s="29"/>
      <c r="T905" s="29"/>
      <c r="U905" s="29"/>
      <c r="V905" s="29">
        <v>725000</v>
      </c>
      <c r="W905" s="29">
        <f t="shared" si="120"/>
        <v>0</v>
      </c>
      <c r="X905" s="29"/>
      <c r="Y905" s="29">
        <f t="shared" si="119"/>
        <v>0</v>
      </c>
    </row>
    <row r="906" spans="1:25" ht="37.5">
      <c r="A906" s="298"/>
      <c r="B906" s="299"/>
      <c r="C906" s="298"/>
      <c r="D906" s="291"/>
      <c r="E906" s="28" t="s">
        <v>1123</v>
      </c>
      <c r="F906" s="28"/>
      <c r="G906" s="28"/>
      <c r="H906" s="28"/>
      <c r="I906" s="234">
        <v>3210</v>
      </c>
      <c r="J906" s="47">
        <v>435000</v>
      </c>
      <c r="K906" s="29"/>
      <c r="L906" s="29"/>
      <c r="M906" s="29"/>
      <c r="N906" s="29"/>
      <c r="O906" s="29"/>
      <c r="P906" s="29"/>
      <c r="Q906" s="29"/>
      <c r="R906" s="29"/>
      <c r="S906" s="29"/>
      <c r="T906" s="29"/>
      <c r="U906" s="29"/>
      <c r="V906" s="29">
        <v>435000</v>
      </c>
      <c r="W906" s="29">
        <f t="shared" si="120"/>
        <v>0</v>
      </c>
      <c r="X906" s="29"/>
      <c r="Y906" s="29">
        <f t="shared" si="119"/>
        <v>0</v>
      </c>
    </row>
    <row r="907" spans="1:25" ht="56.25">
      <c r="A907" s="298"/>
      <c r="B907" s="299"/>
      <c r="C907" s="298"/>
      <c r="D907" s="291"/>
      <c r="E907" s="28" t="s">
        <v>1124</v>
      </c>
      <c r="F907" s="28"/>
      <c r="G907" s="28"/>
      <c r="H907" s="28"/>
      <c r="I907" s="226">
        <v>3210</v>
      </c>
      <c r="J907" s="47">
        <v>3604500</v>
      </c>
      <c r="K907" s="29"/>
      <c r="L907" s="29"/>
      <c r="M907" s="29">
        <v>3604500</v>
      </c>
      <c r="N907" s="29"/>
      <c r="O907" s="29"/>
      <c r="P907" s="29"/>
      <c r="Q907" s="29">
        <f>-27500</f>
        <v>-27500</v>
      </c>
      <c r="R907" s="29"/>
      <c r="S907" s="29"/>
      <c r="T907" s="29"/>
      <c r="U907" s="29"/>
      <c r="V907" s="29">
        <f>27500</f>
        <v>27500</v>
      </c>
      <c r="W907" s="29">
        <f t="shared" si="120"/>
        <v>0</v>
      </c>
      <c r="X907" s="29">
        <v>3577000</v>
      </c>
      <c r="Y907" s="29">
        <f t="shared" si="119"/>
        <v>0</v>
      </c>
    </row>
    <row r="908" spans="1:25" ht="56.25">
      <c r="A908" s="298"/>
      <c r="B908" s="299"/>
      <c r="C908" s="298"/>
      <c r="D908" s="291"/>
      <c r="E908" s="28" t="s">
        <v>657</v>
      </c>
      <c r="F908" s="28"/>
      <c r="G908" s="28"/>
      <c r="H908" s="28"/>
      <c r="I908" s="234">
        <v>3210</v>
      </c>
      <c r="J908" s="47">
        <f>3773000+2047400</f>
        <v>5820400</v>
      </c>
      <c r="K908" s="29"/>
      <c r="L908" s="29"/>
      <c r="M908" s="29">
        <v>3773000</v>
      </c>
      <c r="N908" s="29">
        <v>2047400</v>
      </c>
      <c r="O908" s="29"/>
      <c r="P908" s="29"/>
      <c r="Q908" s="29"/>
      <c r="R908" s="29"/>
      <c r="S908" s="29"/>
      <c r="T908" s="29"/>
      <c r="U908" s="29"/>
      <c r="V908" s="29">
        <f>2047400-2047400</f>
        <v>0</v>
      </c>
      <c r="W908" s="29">
        <f t="shared" si="120"/>
        <v>0</v>
      </c>
      <c r="X908" s="29">
        <f>2846000+2974400</f>
        <v>5820400</v>
      </c>
      <c r="Y908" s="29">
        <f t="shared" si="119"/>
        <v>0</v>
      </c>
    </row>
    <row r="909" spans="1:25" ht="37.5">
      <c r="A909" s="298"/>
      <c r="B909" s="299"/>
      <c r="C909" s="298"/>
      <c r="D909" s="291"/>
      <c r="E909" s="28" t="s">
        <v>472</v>
      </c>
      <c r="F909" s="28"/>
      <c r="G909" s="28"/>
      <c r="H909" s="28"/>
      <c r="I909" s="226">
        <v>3210</v>
      </c>
      <c r="J909" s="47">
        <v>4068000</v>
      </c>
      <c r="K909" s="29"/>
      <c r="L909" s="29"/>
      <c r="M909" s="29"/>
      <c r="N909" s="29"/>
      <c r="O909" s="29"/>
      <c r="P909" s="29"/>
      <c r="Q909" s="29"/>
      <c r="R909" s="29"/>
      <c r="S909" s="29"/>
      <c r="T909" s="29"/>
      <c r="U909" s="29"/>
      <c r="V909" s="29">
        <v>4068000</v>
      </c>
      <c r="W909" s="29">
        <f t="shared" si="120"/>
        <v>0</v>
      </c>
      <c r="X909" s="29"/>
      <c r="Y909" s="29">
        <f t="shared" si="119"/>
        <v>0</v>
      </c>
    </row>
    <row r="910" spans="1:25" ht="37.5">
      <c r="A910" s="298"/>
      <c r="B910" s="299"/>
      <c r="C910" s="298"/>
      <c r="D910" s="291"/>
      <c r="E910" s="28" t="s">
        <v>1066</v>
      </c>
      <c r="F910" s="28"/>
      <c r="G910" s="28"/>
      <c r="H910" s="28"/>
      <c r="I910" s="234">
        <v>3210</v>
      </c>
      <c r="J910" s="47">
        <v>73600</v>
      </c>
      <c r="K910" s="29"/>
      <c r="L910" s="29"/>
      <c r="M910" s="29"/>
      <c r="N910" s="29">
        <v>73600</v>
      </c>
      <c r="O910" s="29"/>
      <c r="P910" s="29"/>
      <c r="Q910" s="29"/>
      <c r="R910" s="29"/>
      <c r="S910" s="29"/>
      <c r="T910" s="29">
        <f>73600-73600</f>
        <v>0</v>
      </c>
      <c r="U910" s="29"/>
      <c r="V910" s="29"/>
      <c r="W910" s="29">
        <f t="shared" si="120"/>
        <v>0</v>
      </c>
      <c r="X910" s="29">
        <v>73600</v>
      </c>
      <c r="Y910" s="29">
        <f t="shared" si="119"/>
        <v>0</v>
      </c>
    </row>
    <row r="911" spans="1:25" ht="18.75">
      <c r="A911" s="298"/>
      <c r="B911" s="299"/>
      <c r="C911" s="298"/>
      <c r="D911" s="291"/>
      <c r="E911" s="28" t="s">
        <v>653</v>
      </c>
      <c r="F911" s="28"/>
      <c r="G911" s="28"/>
      <c r="H911" s="28"/>
      <c r="I911" s="226">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9"/>
        <v>0</v>
      </c>
    </row>
    <row r="912" spans="1:25" ht="37.5">
      <c r="A912" s="298"/>
      <c r="B912" s="299"/>
      <c r="C912" s="298"/>
      <c r="D912" s="291"/>
      <c r="E912" s="28" t="s">
        <v>654</v>
      </c>
      <c r="F912" s="28"/>
      <c r="G912" s="28"/>
      <c r="H912" s="28"/>
      <c r="I912" s="234">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9"/>
        <v>0</v>
      </c>
    </row>
    <row r="913" spans="1:25" ht="18.75">
      <c r="A913" s="298"/>
      <c r="B913" s="299"/>
      <c r="C913" s="298"/>
      <c r="D913" s="291"/>
      <c r="E913" s="28" t="s">
        <v>655</v>
      </c>
      <c r="F913" s="28"/>
      <c r="G913" s="28"/>
      <c r="H913" s="28"/>
      <c r="I913" s="226">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9"/>
        <v>0</v>
      </c>
    </row>
    <row r="914" spans="1:25" ht="37.5">
      <c r="A914" s="298"/>
      <c r="B914" s="299"/>
      <c r="C914" s="298"/>
      <c r="D914" s="291"/>
      <c r="E914" s="28" t="s">
        <v>656</v>
      </c>
      <c r="F914" s="28"/>
      <c r="G914" s="28"/>
      <c r="H914" s="28"/>
      <c r="I914" s="234">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9"/>
        <v>0</v>
      </c>
    </row>
    <row r="915" spans="1:25" ht="44.25" customHeight="1">
      <c r="A915" s="298"/>
      <c r="B915" s="299"/>
      <c r="C915" s="298"/>
      <c r="D915" s="291"/>
      <c r="E915" s="28" t="s">
        <v>473</v>
      </c>
      <c r="F915" s="28"/>
      <c r="G915" s="28"/>
      <c r="H915" s="28"/>
      <c r="I915" s="226">
        <v>3210</v>
      </c>
      <c r="J915" s="47">
        <f>780000+400000</f>
        <v>1180000</v>
      </c>
      <c r="K915" s="29"/>
      <c r="L915" s="29"/>
      <c r="M915" s="29"/>
      <c r="N915" s="29"/>
      <c r="O915" s="29"/>
      <c r="P915" s="29"/>
      <c r="Q915" s="29">
        <f>80000-80000</f>
        <v>0</v>
      </c>
      <c r="R915" s="29"/>
      <c r="S915" s="29">
        <f>800000+80000-880000</f>
        <v>0</v>
      </c>
      <c r="T915" s="29"/>
      <c r="U915" s="29">
        <f>300000+880000</f>
        <v>1180000</v>
      </c>
      <c r="V915" s="29"/>
      <c r="W915" s="29">
        <f t="shared" si="120"/>
        <v>0</v>
      </c>
      <c r="X915" s="29"/>
      <c r="Y915" s="29">
        <f t="shared" si="119"/>
        <v>0</v>
      </c>
    </row>
    <row r="916" spans="1:25" ht="37.5">
      <c r="A916" s="298"/>
      <c r="B916" s="294"/>
      <c r="C916" s="298"/>
      <c r="D916" s="291"/>
      <c r="E916" s="28" t="s">
        <v>474</v>
      </c>
      <c r="F916" s="28"/>
      <c r="G916" s="28"/>
      <c r="H916" s="28"/>
      <c r="I916" s="234">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20"/>
        <v>0</v>
      </c>
      <c r="X916" s="29">
        <f>117217.32+1825119.34+54614.47+891896.03</f>
        <v>2888847.16</v>
      </c>
      <c r="Y916" s="29">
        <f t="shared" si="119"/>
        <v>11152.839999999851</v>
      </c>
    </row>
    <row r="917" spans="1:25" ht="18" hidden="1">
      <c r="A917" s="293" t="s">
        <v>1088</v>
      </c>
      <c r="B917" s="293" t="s">
        <v>1087</v>
      </c>
      <c r="C917" s="293" t="s">
        <v>973</v>
      </c>
      <c r="D917" s="278" t="s">
        <v>475</v>
      </c>
      <c r="E917" s="74"/>
      <c r="F917" s="74"/>
      <c r="G917" s="74"/>
      <c r="H917" s="74"/>
      <c r="I917" s="262"/>
      <c r="J917" s="79">
        <f>SUM(J918:J918)</f>
        <v>0</v>
      </c>
      <c r="K917" s="79">
        <f aca="true" t="shared" si="121" ref="K917:X917">SUM(K918:K918)</f>
        <v>0</v>
      </c>
      <c r="L917" s="79">
        <f t="shared" si="121"/>
        <v>0</v>
      </c>
      <c r="M917" s="79">
        <f t="shared" si="121"/>
        <v>0</v>
      </c>
      <c r="N917" s="79">
        <f t="shared" si="121"/>
        <v>0</v>
      </c>
      <c r="O917" s="79">
        <f t="shared" si="121"/>
        <v>0</v>
      </c>
      <c r="P917" s="79">
        <f t="shared" si="121"/>
        <v>0</v>
      </c>
      <c r="Q917" s="79">
        <f t="shared" si="121"/>
        <v>0</v>
      </c>
      <c r="R917" s="79">
        <f t="shared" si="121"/>
        <v>0</v>
      </c>
      <c r="S917" s="79">
        <f t="shared" si="121"/>
        <v>0</v>
      </c>
      <c r="T917" s="79">
        <f t="shared" si="121"/>
        <v>0</v>
      </c>
      <c r="U917" s="79">
        <f t="shared" si="121"/>
        <v>0</v>
      </c>
      <c r="V917" s="79">
        <f t="shared" si="121"/>
        <v>0</v>
      </c>
      <c r="W917" s="79">
        <f t="shared" si="121"/>
        <v>0</v>
      </c>
      <c r="X917" s="79">
        <f t="shared" si="121"/>
        <v>0</v>
      </c>
      <c r="Y917" s="29">
        <f t="shared" si="119"/>
        <v>0</v>
      </c>
    </row>
    <row r="918" spans="1:25" ht="54" hidden="1">
      <c r="A918" s="294"/>
      <c r="B918" s="294"/>
      <c r="C918" s="294"/>
      <c r="D918" s="292"/>
      <c r="E918" s="73" t="s">
        <v>476</v>
      </c>
      <c r="F918" s="135">
        <f>J918</f>
        <v>0</v>
      </c>
      <c r="G918" s="134">
        <v>1</v>
      </c>
      <c r="H918" s="135">
        <f>J918</f>
        <v>0</v>
      </c>
      <c r="I918" s="234"/>
      <c r="J918" s="54">
        <f>4800000-1200000-3600000</f>
        <v>0</v>
      </c>
      <c r="K918" s="29"/>
      <c r="L918" s="29"/>
      <c r="M918" s="29">
        <f>100000-100000</f>
        <v>0</v>
      </c>
      <c r="N918" s="29"/>
      <c r="O918" s="29"/>
      <c r="P918" s="29"/>
      <c r="Q918" s="29">
        <f>1700000-1700000</f>
        <v>0</v>
      </c>
      <c r="R918" s="29">
        <f>1800000-1800000</f>
        <v>0</v>
      </c>
      <c r="S918" s="29"/>
      <c r="T918" s="29"/>
      <c r="U918" s="29"/>
      <c r="V918" s="29"/>
      <c r="W918" s="29">
        <f t="shared" si="120"/>
        <v>0</v>
      </c>
      <c r="X918" s="29"/>
      <c r="Y918" s="29">
        <f t="shared" si="119"/>
        <v>0</v>
      </c>
    </row>
    <row r="919" spans="1:25" ht="18" customHeight="1">
      <c r="A919" s="298" t="s">
        <v>1089</v>
      </c>
      <c r="B919" s="293" t="s">
        <v>383</v>
      </c>
      <c r="C919" s="298" t="s">
        <v>815</v>
      </c>
      <c r="D919" s="315" t="s">
        <v>384</v>
      </c>
      <c r="E919" s="74"/>
      <c r="F919" s="74"/>
      <c r="G919" s="74"/>
      <c r="H919" s="74"/>
      <c r="I919" s="262"/>
      <c r="J919" s="79">
        <f>J920</f>
        <v>4587000</v>
      </c>
      <c r="K919" s="79">
        <f aca="true" t="shared" si="122" ref="K919:X919">K920</f>
        <v>0</v>
      </c>
      <c r="L919" s="79">
        <f t="shared" si="122"/>
        <v>0</v>
      </c>
      <c r="M919" s="79">
        <f t="shared" si="122"/>
        <v>0</v>
      </c>
      <c r="N919" s="79">
        <f t="shared" si="122"/>
        <v>0</v>
      </c>
      <c r="O919" s="79">
        <f t="shared" si="122"/>
        <v>0</v>
      </c>
      <c r="P919" s="79">
        <f t="shared" si="122"/>
        <v>0</v>
      </c>
      <c r="Q919" s="79">
        <f t="shared" si="122"/>
        <v>0</v>
      </c>
      <c r="R919" s="79">
        <f t="shared" si="122"/>
        <v>4587000</v>
      </c>
      <c r="S919" s="79">
        <f t="shared" si="122"/>
        <v>0</v>
      </c>
      <c r="T919" s="79">
        <f t="shared" si="122"/>
        <v>0</v>
      </c>
      <c r="U919" s="79">
        <f t="shared" si="122"/>
        <v>0</v>
      </c>
      <c r="V919" s="79">
        <f t="shared" si="122"/>
        <v>0</v>
      </c>
      <c r="W919" s="79">
        <f t="shared" si="122"/>
        <v>0</v>
      </c>
      <c r="X919" s="79">
        <f t="shared" si="122"/>
        <v>0</v>
      </c>
      <c r="Y919" s="29">
        <f t="shared" si="119"/>
        <v>4587000</v>
      </c>
    </row>
    <row r="920" spans="1:25" ht="100.5" customHeight="1">
      <c r="A920" s="298"/>
      <c r="B920" s="294"/>
      <c r="C920" s="298"/>
      <c r="D920" s="315"/>
      <c r="E920" s="28" t="s">
        <v>477</v>
      </c>
      <c r="F920" s="28"/>
      <c r="G920" s="28"/>
      <c r="H920" s="28"/>
      <c r="I920" s="226">
        <v>3220</v>
      </c>
      <c r="J920" s="47">
        <f>3920000-300000+967000</f>
        <v>4587000</v>
      </c>
      <c r="K920" s="29"/>
      <c r="L920" s="29"/>
      <c r="M920" s="29">
        <f>3920000-3920000</f>
        <v>0</v>
      </c>
      <c r="N920" s="29"/>
      <c r="O920" s="29"/>
      <c r="P920" s="29"/>
      <c r="Q920" s="29"/>
      <c r="R920" s="29">
        <f>4587000</f>
        <v>4587000</v>
      </c>
      <c r="S920" s="29"/>
      <c r="T920" s="29">
        <f>67357.66-67357.66</f>
        <v>0</v>
      </c>
      <c r="U920" s="29">
        <f>3920000-300000+802405.34-4422405.34</f>
        <v>0</v>
      </c>
      <c r="V920" s="29">
        <f>97237-97237</f>
        <v>0</v>
      </c>
      <c r="W920" s="29">
        <f t="shared" si="120"/>
        <v>0</v>
      </c>
      <c r="X920" s="29"/>
      <c r="Y920" s="29">
        <f t="shared" si="119"/>
        <v>4587000</v>
      </c>
    </row>
    <row r="921" spans="1:25" ht="31.5" customHeight="1" hidden="1">
      <c r="A921" s="9"/>
      <c r="B921" s="9"/>
      <c r="C921" s="298"/>
      <c r="D921" s="45"/>
      <c r="E921" s="30" t="s">
        <v>970</v>
      </c>
      <c r="F921" s="47"/>
      <c r="G921" s="114"/>
      <c r="H921" s="122"/>
      <c r="I921" s="235"/>
      <c r="J921" s="79">
        <f>SUM(J922:J925)</f>
        <v>0</v>
      </c>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298"/>
      <c r="D922" s="45"/>
      <c r="E922" s="28"/>
      <c r="F922" s="47"/>
      <c r="G922" s="114"/>
      <c r="H922" s="47"/>
      <c r="I922" s="226"/>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298"/>
      <c r="D923" s="45"/>
      <c r="E923" s="28"/>
      <c r="F923" s="47"/>
      <c r="G923" s="114"/>
      <c r="H923" s="47"/>
      <c r="I923" s="226"/>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9"/>
      <c r="B924" s="9"/>
      <c r="C924" s="298"/>
      <c r="D924" s="45"/>
      <c r="E924" s="28"/>
      <c r="F924" s="47"/>
      <c r="G924" s="114"/>
      <c r="H924" s="47"/>
      <c r="I924" s="226"/>
      <c r="J924" s="47"/>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9"/>
      <c r="B925" s="9"/>
      <c r="C925" s="298"/>
      <c r="D925" s="45"/>
      <c r="E925" s="28"/>
      <c r="F925" s="47"/>
      <c r="G925" s="114"/>
      <c r="H925" s="47"/>
      <c r="I925" s="226"/>
      <c r="J925" s="4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20"/>
      <c r="B926" s="120"/>
      <c r="C926" s="293" t="s">
        <v>971</v>
      </c>
      <c r="D926" s="48"/>
      <c r="E926" s="73"/>
      <c r="F926" s="29"/>
      <c r="G926" s="114"/>
      <c r="H926" s="122"/>
      <c r="I926" s="235"/>
      <c r="J926" s="60">
        <f>SUM(J927:J930)</f>
        <v>0</v>
      </c>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21"/>
      <c r="B927" s="121"/>
      <c r="C927" s="299"/>
      <c r="D927" s="49"/>
      <c r="E927" s="28"/>
      <c r="F927" s="29"/>
      <c r="G927" s="114"/>
      <c r="H927" s="29"/>
      <c r="I927" s="236"/>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21"/>
      <c r="B928" s="121"/>
      <c r="C928" s="299"/>
      <c r="D928" s="49"/>
      <c r="E928" s="28"/>
      <c r="F928" s="29"/>
      <c r="G928" s="114"/>
      <c r="H928" s="29"/>
      <c r="I928" s="236"/>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1"/>
      <c r="B929" s="121"/>
      <c r="C929" s="299"/>
      <c r="D929" s="49"/>
      <c r="E929" s="28"/>
      <c r="F929" s="29"/>
      <c r="G929" s="114"/>
      <c r="H929" s="29"/>
      <c r="I929" s="236"/>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21"/>
      <c r="B930" s="121"/>
      <c r="C930" s="299"/>
      <c r="D930" s="49"/>
      <c r="E930" s="28"/>
      <c r="F930" s="29"/>
      <c r="G930" s="114"/>
      <c r="H930" s="29"/>
      <c r="I930" s="236"/>
      <c r="J930" s="7"/>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26"/>
      <c r="B931" s="126"/>
      <c r="C931" s="294"/>
      <c r="D931" s="51"/>
      <c r="E931" s="28"/>
      <c r="F931" s="29"/>
      <c r="G931" s="114"/>
      <c r="H931" s="122"/>
      <c r="I931" s="235"/>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20"/>
      <c r="B932" s="120"/>
      <c r="C932" s="293" t="s">
        <v>972</v>
      </c>
      <c r="D932" s="48"/>
      <c r="E932" s="73"/>
      <c r="F932" s="29"/>
      <c r="G932" s="114"/>
      <c r="H932" s="122"/>
      <c r="I932" s="235"/>
      <c r="J932" s="60">
        <f>SUM(J933:J937)</f>
        <v>0</v>
      </c>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21"/>
      <c r="B933" s="121"/>
      <c r="C933" s="299"/>
      <c r="D933" s="49"/>
      <c r="E933" s="28"/>
      <c r="F933" s="29"/>
      <c r="G933" s="114"/>
      <c r="H933" s="122"/>
      <c r="I933" s="235"/>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21"/>
      <c r="B934" s="121"/>
      <c r="C934" s="299"/>
      <c r="D934" s="49"/>
      <c r="E934" s="28"/>
      <c r="F934" s="29"/>
      <c r="G934" s="114"/>
      <c r="H934" s="122"/>
      <c r="I934" s="235"/>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1"/>
      <c r="B935" s="121"/>
      <c r="C935" s="299"/>
      <c r="D935" s="49"/>
      <c r="E935" s="28"/>
      <c r="F935" s="29"/>
      <c r="G935" s="114"/>
      <c r="H935" s="29"/>
      <c r="I935" s="236"/>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21"/>
      <c r="B936" s="121"/>
      <c r="C936" s="299"/>
      <c r="D936" s="49"/>
      <c r="E936" s="28"/>
      <c r="F936" s="29"/>
      <c r="G936" s="114"/>
      <c r="H936" s="29"/>
      <c r="I936" s="236"/>
      <c r="J936" s="7"/>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26"/>
      <c r="B937" s="126"/>
      <c r="C937" s="294"/>
      <c r="D937" s="51"/>
      <c r="E937" s="28"/>
      <c r="F937" s="29"/>
      <c r="G937" s="114"/>
      <c r="H937" s="29"/>
      <c r="I937" s="236"/>
      <c r="J937" s="7"/>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293" t="s">
        <v>973</v>
      </c>
      <c r="D938" s="48"/>
      <c r="E938" s="73"/>
      <c r="F938" s="29"/>
      <c r="G938" s="114"/>
      <c r="H938" s="122"/>
      <c r="I938" s="235"/>
      <c r="J938" s="60">
        <f>SUM(J939:J940)</f>
        <v>0</v>
      </c>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121"/>
      <c r="B939" s="121"/>
      <c r="C939" s="299"/>
      <c r="D939" s="49"/>
      <c r="E939" s="73"/>
      <c r="F939" s="29"/>
      <c r="G939" s="114"/>
      <c r="H939" s="122"/>
      <c r="I939" s="235"/>
      <c r="J939" s="54"/>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124"/>
      <c r="B940" s="124"/>
      <c r="C940" s="294"/>
      <c r="D940" s="51"/>
      <c r="E940" s="28"/>
      <c r="F940" s="3"/>
      <c r="G940" s="114"/>
      <c r="H940" s="137"/>
      <c r="I940" s="235"/>
      <c r="J940" s="2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9"/>
      <c r="B941" s="9"/>
      <c r="C941" s="298" t="s">
        <v>815</v>
      </c>
      <c r="D941" s="45"/>
      <c r="E941" s="73"/>
      <c r="F941" s="135"/>
      <c r="G941" s="114"/>
      <c r="H941" s="135"/>
      <c r="I941" s="234"/>
      <c r="J941" s="60">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9"/>
      <c r="B942" s="9"/>
      <c r="C942" s="298"/>
      <c r="D942" s="45"/>
      <c r="E942" s="28"/>
      <c r="F942" s="3"/>
      <c r="G942" s="114"/>
      <c r="H942" s="140"/>
      <c r="I942" s="226"/>
      <c r="J942" s="79"/>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316" t="s">
        <v>815</v>
      </c>
      <c r="D943" s="83"/>
      <c r="E943" s="74"/>
      <c r="F943" s="14"/>
      <c r="G943" s="114"/>
      <c r="H943" s="141"/>
      <c r="I943" s="237"/>
      <c r="J943" s="79">
        <f>J944</f>
        <v>0</v>
      </c>
      <c r="K943" s="29"/>
      <c r="L943" s="29"/>
      <c r="M943" s="29"/>
      <c r="N943" s="29"/>
      <c r="O943" s="29"/>
      <c r="P943" s="29"/>
      <c r="Q943" s="29"/>
      <c r="R943" s="29"/>
      <c r="S943" s="29"/>
      <c r="T943" s="29"/>
      <c r="U943" s="29"/>
      <c r="V943" s="29"/>
      <c r="W943" s="29">
        <f t="shared" si="120"/>
        <v>0</v>
      </c>
      <c r="X943" s="29"/>
      <c r="Y943" s="29">
        <f t="shared" si="119"/>
        <v>0</v>
      </c>
    </row>
    <row r="944" spans="1:25" ht="18.75" customHeight="1" hidden="1">
      <c r="A944" s="8"/>
      <c r="B944" s="8"/>
      <c r="C944" s="316"/>
      <c r="D944" s="83"/>
      <c r="E944" s="28"/>
      <c r="F944" s="14"/>
      <c r="G944" s="114"/>
      <c r="H944" s="141"/>
      <c r="I944" s="237"/>
      <c r="J944" s="47"/>
      <c r="K944" s="29"/>
      <c r="L944" s="29"/>
      <c r="M944" s="29"/>
      <c r="N944" s="29"/>
      <c r="O944" s="29"/>
      <c r="P944" s="29"/>
      <c r="Q944" s="29"/>
      <c r="R944" s="29"/>
      <c r="S944" s="29"/>
      <c r="T944" s="29"/>
      <c r="U944" s="29"/>
      <c r="V944" s="29"/>
      <c r="W944" s="29">
        <f t="shared" si="120"/>
        <v>0</v>
      </c>
      <c r="X944" s="29"/>
      <c r="Y944" s="29">
        <f t="shared" si="119"/>
        <v>0</v>
      </c>
    </row>
    <row r="945" spans="1:25" ht="18.75" customHeight="1" hidden="1">
      <c r="A945" s="8"/>
      <c r="B945" s="8"/>
      <c r="C945" s="316"/>
      <c r="D945" s="83"/>
      <c r="E945" s="28"/>
      <c r="F945" s="14"/>
      <c r="G945" s="114"/>
      <c r="H945" s="141"/>
      <c r="I945" s="237"/>
      <c r="J945" s="47"/>
      <c r="K945" s="29"/>
      <c r="L945" s="29"/>
      <c r="M945" s="29"/>
      <c r="N945" s="29"/>
      <c r="O945" s="29"/>
      <c r="P945" s="29"/>
      <c r="Q945" s="29"/>
      <c r="R945" s="29"/>
      <c r="S945" s="29"/>
      <c r="T945" s="29"/>
      <c r="U945" s="29"/>
      <c r="V945" s="29"/>
      <c r="W945" s="29">
        <f t="shared" si="120"/>
        <v>0</v>
      </c>
      <c r="X945" s="29"/>
      <c r="Y945" s="29">
        <f t="shared" si="119"/>
        <v>0</v>
      </c>
    </row>
    <row r="946" spans="3:25" ht="18" hidden="1">
      <c r="C946" s="37"/>
      <c r="D946" s="37"/>
      <c r="E946" s="129"/>
      <c r="F946" s="130"/>
      <c r="G946" s="131"/>
      <c r="H946" s="142"/>
      <c r="I946" s="238"/>
      <c r="J946" s="35">
        <f>J947</f>
        <v>0</v>
      </c>
      <c r="K946" s="29"/>
      <c r="L946" s="29"/>
      <c r="M946" s="29"/>
      <c r="N946" s="29"/>
      <c r="O946" s="29"/>
      <c r="P946" s="29"/>
      <c r="Q946" s="29"/>
      <c r="R946" s="29"/>
      <c r="S946" s="29"/>
      <c r="T946" s="29"/>
      <c r="U946" s="29"/>
      <c r="V946" s="29"/>
      <c r="W946" s="29">
        <f t="shared" si="120"/>
        <v>0</v>
      </c>
      <c r="X946" s="29"/>
      <c r="Y946" s="29">
        <f t="shared" si="119"/>
        <v>0</v>
      </c>
    </row>
    <row r="947" spans="3:25" ht="18.75" customHeight="1" hidden="1">
      <c r="C947" s="313" t="s">
        <v>814</v>
      </c>
      <c r="D947" s="63"/>
      <c r="E947" s="86"/>
      <c r="F947" s="29"/>
      <c r="G947" s="133"/>
      <c r="H947" s="122"/>
      <c r="I947" s="235"/>
      <c r="J947" s="31">
        <f>J948</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314"/>
      <c r="D948" s="143"/>
      <c r="E948" s="86"/>
      <c r="F948" s="29"/>
      <c r="G948" s="133"/>
      <c r="H948" s="122"/>
      <c r="I948" s="235"/>
      <c r="J948" s="29"/>
      <c r="K948" s="29"/>
      <c r="L948" s="29"/>
      <c r="M948" s="29"/>
      <c r="N948" s="29"/>
      <c r="O948" s="29"/>
      <c r="P948" s="29"/>
      <c r="Q948" s="29"/>
      <c r="R948" s="29"/>
      <c r="S948" s="29"/>
      <c r="T948" s="29"/>
      <c r="U948" s="29"/>
      <c r="V948" s="29"/>
      <c r="W948" s="29">
        <f t="shared" si="120"/>
        <v>0</v>
      </c>
      <c r="X948" s="29"/>
      <c r="Y948" s="29">
        <f t="shared" si="119"/>
        <v>0</v>
      </c>
    </row>
    <row r="949" spans="3:25" ht="18" hidden="1">
      <c r="C949" s="37"/>
      <c r="D949" s="37"/>
      <c r="E949" s="129"/>
      <c r="F949" s="130"/>
      <c r="G949" s="131"/>
      <c r="H949" s="142"/>
      <c r="I949" s="238"/>
      <c r="J949" s="35">
        <f>J955+J961+J966+J970+J975+J979+J985+J990+J997+J968+J950+J988+J996</f>
        <v>0</v>
      </c>
      <c r="K949" s="29"/>
      <c r="L949" s="29"/>
      <c r="M949" s="29"/>
      <c r="N949" s="29"/>
      <c r="O949" s="29"/>
      <c r="P949" s="29"/>
      <c r="Q949" s="29"/>
      <c r="R949" s="29"/>
      <c r="S949" s="29"/>
      <c r="T949" s="29"/>
      <c r="U949" s="29"/>
      <c r="V949" s="29"/>
      <c r="W949" s="29">
        <f t="shared" si="120"/>
        <v>0</v>
      </c>
      <c r="X949" s="29"/>
      <c r="Y949" s="29">
        <f t="shared" si="119"/>
        <v>0</v>
      </c>
    </row>
    <row r="950" spans="3:25" ht="18.75" customHeight="1" hidden="1">
      <c r="C950" s="307" t="s">
        <v>814</v>
      </c>
      <c r="D950" s="71"/>
      <c r="E950" s="86"/>
      <c r="F950" s="29"/>
      <c r="G950" s="133"/>
      <c r="H950" s="122"/>
      <c r="I950" s="235"/>
      <c r="J950" s="31">
        <f>SUM(J951:J954)</f>
        <v>0</v>
      </c>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308"/>
      <c r="D951" s="85"/>
      <c r="E951" s="86"/>
      <c r="F951" s="29"/>
      <c r="G951" s="133"/>
      <c r="H951" s="122"/>
      <c r="I951" s="235"/>
      <c r="J951" s="29"/>
      <c r="K951" s="29"/>
      <c r="L951" s="29"/>
      <c r="M951" s="29"/>
      <c r="N951" s="29"/>
      <c r="O951" s="29"/>
      <c r="P951" s="29"/>
      <c r="Q951" s="29"/>
      <c r="R951" s="29"/>
      <c r="S951" s="29"/>
      <c r="T951" s="29"/>
      <c r="U951" s="29"/>
      <c r="V951" s="29"/>
      <c r="W951" s="29">
        <f t="shared" si="120"/>
        <v>0</v>
      </c>
      <c r="X951" s="29"/>
      <c r="Y951" s="29">
        <f t="shared" si="119"/>
        <v>0</v>
      </c>
    </row>
    <row r="952" spans="3:25" ht="54.75" customHeight="1" hidden="1">
      <c r="C952" s="308"/>
      <c r="D952" s="85"/>
      <c r="E952" s="28"/>
      <c r="F952" s="29"/>
      <c r="G952" s="133"/>
      <c r="H952" s="122"/>
      <c r="I952" s="235"/>
      <c r="J952" s="29"/>
      <c r="K952" s="29"/>
      <c r="L952" s="29"/>
      <c r="M952" s="29"/>
      <c r="N952" s="29"/>
      <c r="O952" s="29"/>
      <c r="P952" s="29"/>
      <c r="Q952" s="29"/>
      <c r="R952" s="29"/>
      <c r="S952" s="29"/>
      <c r="T952" s="29"/>
      <c r="U952" s="29"/>
      <c r="V952" s="29"/>
      <c r="W952" s="29">
        <f t="shared" si="120"/>
        <v>0</v>
      </c>
      <c r="X952" s="29"/>
      <c r="Y952" s="29">
        <f t="shared" si="119"/>
        <v>0</v>
      </c>
    </row>
    <row r="953" spans="3:25" ht="18.75" customHeight="1" hidden="1">
      <c r="C953" s="308"/>
      <c r="D953" s="85"/>
      <c r="E953" s="28"/>
      <c r="F953" s="29"/>
      <c r="G953" s="133"/>
      <c r="H953" s="122"/>
      <c r="I953" s="235"/>
      <c r="J953" s="29"/>
      <c r="K953" s="29"/>
      <c r="L953" s="29"/>
      <c r="M953" s="29"/>
      <c r="N953" s="29"/>
      <c r="O953" s="29"/>
      <c r="P953" s="29"/>
      <c r="Q953" s="29"/>
      <c r="R953" s="29"/>
      <c r="S953" s="29"/>
      <c r="T953" s="29"/>
      <c r="U953" s="29"/>
      <c r="V953" s="29"/>
      <c r="W953" s="29">
        <f t="shared" si="120"/>
        <v>0</v>
      </c>
      <c r="X953" s="29"/>
      <c r="Y953" s="29">
        <f t="shared" si="119"/>
        <v>0</v>
      </c>
    </row>
    <row r="954" spans="3:25" ht="18.75" customHeight="1" hidden="1">
      <c r="C954" s="309"/>
      <c r="D954" s="144"/>
      <c r="E954" s="28"/>
      <c r="F954" s="29"/>
      <c r="G954" s="136"/>
      <c r="H954" s="122"/>
      <c r="I954" s="235"/>
      <c r="J954" s="47"/>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20"/>
      <c r="B955" s="120"/>
      <c r="C955" s="289" t="s">
        <v>819</v>
      </c>
      <c r="D955" s="41"/>
      <c r="E955" s="86"/>
      <c r="F955" s="29"/>
      <c r="G955" s="133"/>
      <c r="H955" s="122"/>
      <c r="I955" s="235"/>
      <c r="J955" s="31">
        <f>SUM(J956:J960)</f>
        <v>0</v>
      </c>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21"/>
      <c r="B956" s="121"/>
      <c r="C956" s="290"/>
      <c r="D956" s="42"/>
      <c r="E956" s="28"/>
      <c r="F956" s="29"/>
      <c r="G956" s="114"/>
      <c r="H956" s="122"/>
      <c r="I956" s="235"/>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21"/>
      <c r="B957" s="121"/>
      <c r="C957" s="290"/>
      <c r="D957" s="42"/>
      <c r="E957" s="28"/>
      <c r="F957" s="29"/>
      <c r="G957" s="114"/>
      <c r="H957" s="122"/>
      <c r="I957" s="235"/>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21"/>
      <c r="B958" s="121"/>
      <c r="C958" s="290"/>
      <c r="D958" s="42"/>
      <c r="E958" s="28"/>
      <c r="F958" s="29"/>
      <c r="G958" s="114"/>
      <c r="H958" s="122"/>
      <c r="I958" s="235"/>
      <c r="J958" s="54"/>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21"/>
      <c r="B959" s="121"/>
      <c r="C959" s="290"/>
      <c r="D959" s="42"/>
      <c r="E959" s="28"/>
      <c r="F959" s="29"/>
      <c r="G959" s="114"/>
      <c r="H959" s="122"/>
      <c r="I959" s="235"/>
      <c r="J959" s="54"/>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23"/>
      <c r="B960" s="123"/>
      <c r="C960" s="290"/>
      <c r="D960" s="42"/>
      <c r="E960" s="28"/>
      <c r="F960" s="47"/>
      <c r="G960" s="114"/>
      <c r="H960" s="139"/>
      <c r="I960" s="239"/>
      <c r="J960" s="47"/>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20"/>
      <c r="B961" s="120"/>
      <c r="C961" s="289" t="s">
        <v>820</v>
      </c>
      <c r="D961" s="41"/>
      <c r="E961" s="86"/>
      <c r="F961" s="29"/>
      <c r="G961" s="133"/>
      <c r="H961" s="122"/>
      <c r="I961" s="235"/>
      <c r="J961" s="31">
        <f>SUM(J962:J965)</f>
        <v>0</v>
      </c>
      <c r="K961" s="29"/>
      <c r="L961" s="29"/>
      <c r="M961" s="29"/>
      <c r="N961" s="29"/>
      <c r="O961" s="29"/>
      <c r="P961" s="29"/>
      <c r="Q961" s="29"/>
      <c r="R961" s="29"/>
      <c r="S961" s="29"/>
      <c r="T961" s="29"/>
      <c r="U961" s="29"/>
      <c r="V961" s="29"/>
      <c r="W961" s="29">
        <f t="shared" si="120"/>
        <v>0</v>
      </c>
      <c r="X961" s="29"/>
      <c r="Y961" s="29">
        <f t="shared" si="119"/>
        <v>0</v>
      </c>
    </row>
    <row r="962" spans="1:25" ht="18.75" customHeight="1" hidden="1">
      <c r="A962" s="121"/>
      <c r="B962" s="121"/>
      <c r="C962" s="290"/>
      <c r="D962" s="42"/>
      <c r="E962" s="36"/>
      <c r="F962" s="40"/>
      <c r="G962" s="114"/>
      <c r="H962" s="119"/>
      <c r="I962" s="240"/>
      <c r="J962" s="40"/>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21"/>
      <c r="B963" s="121"/>
      <c r="C963" s="290"/>
      <c r="D963" s="42"/>
      <c r="E963" s="28"/>
      <c r="F963" s="29"/>
      <c r="G963" s="114"/>
      <c r="H963" s="122"/>
      <c r="I963" s="235"/>
      <c r="J963" s="54"/>
      <c r="K963" s="29"/>
      <c r="L963" s="29"/>
      <c r="M963" s="29"/>
      <c r="N963" s="29"/>
      <c r="O963" s="29"/>
      <c r="P963" s="29"/>
      <c r="Q963" s="29"/>
      <c r="R963" s="29"/>
      <c r="S963" s="29"/>
      <c r="T963" s="29"/>
      <c r="U963" s="29"/>
      <c r="V963" s="29"/>
      <c r="W963" s="29">
        <f t="shared" si="120"/>
        <v>0</v>
      </c>
      <c r="X963" s="29"/>
      <c r="Y963" s="29">
        <f t="shared" si="119"/>
        <v>0</v>
      </c>
    </row>
    <row r="964" spans="1:25" ht="39.75" customHeight="1" hidden="1">
      <c r="A964" s="121"/>
      <c r="B964" s="121"/>
      <c r="C964" s="290"/>
      <c r="D964" s="42"/>
      <c r="E964" s="28"/>
      <c r="F964" s="29"/>
      <c r="G964" s="114"/>
      <c r="H964" s="122"/>
      <c r="I964" s="235"/>
      <c r="J964" s="54"/>
      <c r="K964" s="29"/>
      <c r="L964" s="29"/>
      <c r="M964" s="29"/>
      <c r="N964" s="29"/>
      <c r="O964" s="29"/>
      <c r="P964" s="29"/>
      <c r="Q964" s="29"/>
      <c r="R964" s="29"/>
      <c r="S964" s="29"/>
      <c r="T964" s="29"/>
      <c r="U964" s="29"/>
      <c r="V964" s="29"/>
      <c r="W964" s="29">
        <f t="shared" si="120"/>
        <v>0</v>
      </c>
      <c r="X964" s="29"/>
      <c r="Y964" s="29">
        <f t="shared" si="119"/>
        <v>0</v>
      </c>
    </row>
    <row r="965" spans="1:25" ht="18.75" customHeight="1" hidden="1">
      <c r="A965" s="121"/>
      <c r="B965" s="121"/>
      <c r="C965" s="290"/>
      <c r="D965" s="42"/>
      <c r="E965" s="36"/>
      <c r="F965" s="40"/>
      <c r="G965" s="114"/>
      <c r="H965" s="119"/>
      <c r="I965" s="240"/>
      <c r="J965" s="40"/>
      <c r="K965" s="29"/>
      <c r="L965" s="29"/>
      <c r="M965" s="29"/>
      <c r="N965" s="29"/>
      <c r="O965" s="29"/>
      <c r="P965" s="29"/>
      <c r="Q965" s="29"/>
      <c r="R965" s="29"/>
      <c r="S965" s="29"/>
      <c r="T965" s="29"/>
      <c r="U965" s="29"/>
      <c r="V965" s="29"/>
      <c r="W965" s="29">
        <f t="shared" si="120"/>
        <v>0</v>
      </c>
      <c r="X965" s="29"/>
      <c r="Y965" s="29">
        <f t="shared" si="119"/>
        <v>0</v>
      </c>
    </row>
    <row r="966" spans="1:25" ht="18.75" customHeight="1" hidden="1">
      <c r="A966" s="120"/>
      <c r="B966" s="120"/>
      <c r="C966" s="289" t="s">
        <v>1127</v>
      </c>
      <c r="D966" s="41"/>
      <c r="E966" s="86"/>
      <c r="F966" s="29"/>
      <c r="G966" s="114"/>
      <c r="H966" s="122"/>
      <c r="I966" s="235"/>
      <c r="J966" s="31">
        <f>J967</f>
        <v>0</v>
      </c>
      <c r="K966" s="29"/>
      <c r="L966" s="29"/>
      <c r="M966" s="29"/>
      <c r="N966" s="29"/>
      <c r="O966" s="29"/>
      <c r="P966" s="29"/>
      <c r="Q966" s="29"/>
      <c r="R966" s="29"/>
      <c r="S966" s="29"/>
      <c r="T966" s="29"/>
      <c r="U966" s="29"/>
      <c r="V966" s="29"/>
      <c r="W966" s="29">
        <f t="shared" si="120"/>
        <v>0</v>
      </c>
      <c r="X966" s="29"/>
      <c r="Y966" s="29">
        <f aca="true" t="shared" si="123" ref="Y966:Y1029">K966+L966+M966+N966+O966+P966+Q966+R966-X966</f>
        <v>0</v>
      </c>
    </row>
    <row r="967" spans="1:25" ht="18.75" customHeight="1" hidden="1">
      <c r="A967" s="126"/>
      <c r="B967" s="126"/>
      <c r="C967" s="297"/>
      <c r="D967" s="56"/>
      <c r="E967" s="28"/>
      <c r="F967" s="29"/>
      <c r="G967" s="114"/>
      <c r="H967" s="122"/>
      <c r="I967" s="235"/>
      <c r="J967" s="29"/>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64"/>
      <c r="B968" s="64"/>
      <c r="C968" s="293" t="s">
        <v>646</v>
      </c>
      <c r="D968" s="48"/>
      <c r="E968" s="30"/>
      <c r="F968" s="31"/>
      <c r="G968" s="114"/>
      <c r="H968" s="145"/>
      <c r="I968" s="241"/>
      <c r="J968" s="31">
        <f>J969</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24"/>
      <c r="B969" s="124"/>
      <c r="C969" s="294"/>
      <c r="D969" s="49"/>
      <c r="E969" s="28"/>
      <c r="F969" s="47"/>
      <c r="G969" s="114"/>
      <c r="H969" s="139"/>
      <c r="I969" s="239"/>
      <c r="J969" s="47"/>
      <c r="K969" s="29"/>
      <c r="L969" s="29"/>
      <c r="M969" s="29"/>
      <c r="N969" s="29"/>
      <c r="O969" s="29"/>
      <c r="P969" s="29"/>
      <c r="Q969" s="29"/>
      <c r="R969" s="29"/>
      <c r="S969" s="29"/>
      <c r="T969" s="29"/>
      <c r="U969" s="29"/>
      <c r="V969" s="29"/>
      <c r="W969" s="29">
        <f t="shared" si="120"/>
        <v>0</v>
      </c>
      <c r="X969" s="29"/>
      <c r="Y969" s="29">
        <f t="shared" si="123"/>
        <v>0</v>
      </c>
    </row>
    <row r="970" spans="1:25" ht="18.75" customHeight="1" hidden="1">
      <c r="A970" s="120"/>
      <c r="B970" s="120"/>
      <c r="C970" s="289" t="s">
        <v>1007</v>
      </c>
      <c r="D970" s="41"/>
      <c r="E970" s="86"/>
      <c r="F970" s="29"/>
      <c r="G970" s="114"/>
      <c r="H970" s="122"/>
      <c r="I970" s="235"/>
      <c r="J970" s="31">
        <f>SUM(J971:J974)</f>
        <v>0</v>
      </c>
      <c r="K970" s="29"/>
      <c r="L970" s="29"/>
      <c r="M970" s="29"/>
      <c r="N970" s="29"/>
      <c r="O970" s="29"/>
      <c r="P970" s="29"/>
      <c r="Q970" s="29"/>
      <c r="R970" s="29"/>
      <c r="S970" s="29"/>
      <c r="T970" s="29"/>
      <c r="U970" s="29"/>
      <c r="V970" s="29"/>
      <c r="W970" s="29">
        <f t="shared" si="120"/>
        <v>0</v>
      </c>
      <c r="X970" s="29"/>
      <c r="Y970" s="29">
        <f t="shared" si="123"/>
        <v>0</v>
      </c>
    </row>
    <row r="971" spans="1:25" ht="18.75" customHeight="1" hidden="1">
      <c r="A971" s="121"/>
      <c r="B971" s="121"/>
      <c r="C971" s="290"/>
      <c r="D971" s="42"/>
      <c r="E971" s="28"/>
      <c r="F971" s="29"/>
      <c r="G971" s="114"/>
      <c r="H971" s="122"/>
      <c r="I971" s="235"/>
      <c r="J971" s="54"/>
      <c r="K971" s="29"/>
      <c r="L971" s="29"/>
      <c r="M971" s="29"/>
      <c r="N971" s="29"/>
      <c r="O971" s="29"/>
      <c r="P971" s="29"/>
      <c r="Q971" s="29"/>
      <c r="R971" s="29"/>
      <c r="S971" s="29"/>
      <c r="T971" s="29"/>
      <c r="U971" s="29"/>
      <c r="V971" s="29"/>
      <c r="W971" s="29">
        <f aca="true" t="shared" si="124" ref="W971:W1034">J971-K971-L971-M971-N971-O971-P971-Q971-R971-S971-T971-U971-V971</f>
        <v>0</v>
      </c>
      <c r="X971" s="29"/>
      <c r="Y971" s="29">
        <f t="shared" si="123"/>
        <v>0</v>
      </c>
    </row>
    <row r="972" spans="1:25" ht="18.75" customHeight="1" hidden="1">
      <c r="A972" s="121"/>
      <c r="B972" s="121"/>
      <c r="C972" s="290"/>
      <c r="D972" s="42"/>
      <c r="E972" s="28"/>
      <c r="F972" s="29"/>
      <c r="G972" s="114"/>
      <c r="H972" s="122"/>
      <c r="I972" s="235"/>
      <c r="J972" s="54"/>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21"/>
      <c r="B973" s="121"/>
      <c r="C973" s="290"/>
      <c r="D973" s="42"/>
      <c r="E973" s="28"/>
      <c r="F973" s="29"/>
      <c r="G973" s="114"/>
      <c r="H973" s="122"/>
      <c r="I973" s="235"/>
      <c r="J973" s="54"/>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24"/>
      <c r="B974" s="124"/>
      <c r="C974" s="297"/>
      <c r="D974" s="56"/>
      <c r="E974" s="28"/>
      <c r="F974" s="47"/>
      <c r="G974" s="114"/>
      <c r="H974" s="139"/>
      <c r="I974" s="239"/>
      <c r="J974" s="47"/>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20"/>
      <c r="B975" s="120"/>
      <c r="C975" s="289" t="s">
        <v>134</v>
      </c>
      <c r="D975" s="41"/>
      <c r="E975" s="86"/>
      <c r="F975" s="29"/>
      <c r="G975" s="114"/>
      <c r="H975" s="122"/>
      <c r="I975" s="235"/>
      <c r="J975" s="31">
        <f>SUM(J976:J978)</f>
        <v>0</v>
      </c>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1"/>
      <c r="B976" s="121"/>
      <c r="C976" s="290"/>
      <c r="D976" s="42"/>
      <c r="E976" s="28"/>
      <c r="F976" s="29"/>
      <c r="G976" s="114"/>
      <c r="H976" s="122"/>
      <c r="I976" s="235"/>
      <c r="J976" s="54"/>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21"/>
      <c r="B977" s="121"/>
      <c r="C977" s="290"/>
      <c r="D977" s="42"/>
      <c r="E977" s="28"/>
      <c r="F977" s="29"/>
      <c r="G977" s="114"/>
      <c r="H977" s="122"/>
      <c r="I977" s="235"/>
      <c r="J977" s="54"/>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24"/>
      <c r="B978" s="124"/>
      <c r="C978" s="297"/>
      <c r="D978" s="56"/>
      <c r="E978" s="28"/>
      <c r="F978" s="47"/>
      <c r="G978" s="114"/>
      <c r="H978" s="139"/>
      <c r="I978" s="239"/>
      <c r="J978" s="47"/>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20"/>
      <c r="B979" s="120"/>
      <c r="C979" s="289" t="s">
        <v>280</v>
      </c>
      <c r="D979" s="41"/>
      <c r="E979" s="86"/>
      <c r="F979" s="146"/>
      <c r="G979" s="114"/>
      <c r="H979" s="147"/>
      <c r="I979" s="242"/>
      <c r="J979" s="31">
        <f>SUM(J980:J984)</f>
        <v>0</v>
      </c>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23"/>
      <c r="B980" s="123"/>
      <c r="C980" s="290"/>
      <c r="D980" s="42"/>
      <c r="E980" s="61"/>
      <c r="F980" s="29"/>
      <c r="G980" s="114"/>
      <c r="H980" s="122"/>
      <c r="I980" s="235"/>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23"/>
      <c r="B981" s="123"/>
      <c r="C981" s="290"/>
      <c r="D981" s="42"/>
      <c r="E981" s="61"/>
      <c r="F981" s="29"/>
      <c r="G981" s="114"/>
      <c r="H981" s="122"/>
      <c r="I981" s="235"/>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23"/>
      <c r="B982" s="123"/>
      <c r="C982" s="290"/>
      <c r="D982" s="42"/>
      <c r="E982" s="61"/>
      <c r="F982" s="29"/>
      <c r="G982" s="114"/>
      <c r="H982" s="122"/>
      <c r="I982" s="235"/>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23"/>
      <c r="B983" s="123"/>
      <c r="C983" s="290"/>
      <c r="D983" s="42"/>
      <c r="E983" s="61"/>
      <c r="F983" s="29"/>
      <c r="G983" s="114"/>
      <c r="H983" s="122"/>
      <c r="I983" s="235"/>
      <c r="J983" s="54"/>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21"/>
      <c r="B984" s="121"/>
      <c r="C984" s="290"/>
      <c r="D984" s="42"/>
      <c r="E984" s="61"/>
      <c r="F984" s="29"/>
      <c r="G984" s="114"/>
      <c r="H984" s="122"/>
      <c r="I984" s="235"/>
      <c r="J984" s="54"/>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20"/>
      <c r="B985" s="120"/>
      <c r="C985" s="289" t="s">
        <v>820</v>
      </c>
      <c r="D985" s="41"/>
      <c r="E985" s="86"/>
      <c r="F985" s="29"/>
      <c r="G985" s="114"/>
      <c r="H985" s="122"/>
      <c r="I985" s="235"/>
      <c r="J985" s="31">
        <f>SUM(J986:J987)</f>
        <v>0</v>
      </c>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121"/>
      <c r="B986" s="121"/>
      <c r="C986" s="290"/>
      <c r="D986" s="42"/>
      <c r="E986" s="36"/>
      <c r="F986" s="40"/>
      <c r="G986" s="114"/>
      <c r="H986" s="119"/>
      <c r="I986" s="240"/>
      <c r="J986" s="40"/>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1"/>
      <c r="B987" s="121"/>
      <c r="C987" s="290"/>
      <c r="D987" s="42"/>
      <c r="E987" s="91"/>
      <c r="F987" s="148"/>
      <c r="G987" s="114"/>
      <c r="H987" s="149"/>
      <c r="I987" s="243"/>
      <c r="J987" s="54"/>
      <c r="K987" s="29"/>
      <c r="L987" s="29"/>
      <c r="M987" s="29"/>
      <c r="N987" s="29"/>
      <c r="O987" s="29"/>
      <c r="P987" s="29"/>
      <c r="Q987" s="29"/>
      <c r="R987" s="29"/>
      <c r="S987" s="29"/>
      <c r="T987" s="29"/>
      <c r="U987" s="29"/>
      <c r="V987" s="29"/>
      <c r="W987" s="29">
        <f t="shared" si="124"/>
        <v>0</v>
      </c>
      <c r="X987" s="29"/>
      <c r="Y987" s="29">
        <f t="shared" si="123"/>
        <v>0</v>
      </c>
    </row>
    <row r="988" spans="1:25" ht="18.75" customHeight="1" hidden="1">
      <c r="A988" s="64"/>
      <c r="B988" s="64"/>
      <c r="C988" s="293" t="s">
        <v>891</v>
      </c>
      <c r="D988" s="48"/>
      <c r="E988" s="30"/>
      <c r="F988" s="79"/>
      <c r="G988" s="114"/>
      <c r="H988" s="138"/>
      <c r="I988" s="244"/>
      <c r="J988" s="79">
        <f>J989</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24"/>
      <c r="B989" s="124"/>
      <c r="C989" s="294"/>
      <c r="D989" s="51"/>
      <c r="E989" s="28"/>
      <c r="F989" s="47"/>
      <c r="G989" s="114"/>
      <c r="H989" s="139"/>
      <c r="I989" s="239"/>
      <c r="J989" s="47"/>
      <c r="K989" s="29"/>
      <c r="L989" s="29"/>
      <c r="M989" s="29"/>
      <c r="N989" s="29"/>
      <c r="O989" s="29"/>
      <c r="P989" s="29"/>
      <c r="Q989" s="29"/>
      <c r="R989" s="29"/>
      <c r="S989" s="29"/>
      <c r="T989" s="29"/>
      <c r="U989" s="29"/>
      <c r="V989" s="29"/>
      <c r="W989" s="29">
        <f t="shared" si="124"/>
        <v>0</v>
      </c>
      <c r="X989" s="29"/>
      <c r="Y989" s="29">
        <f t="shared" si="123"/>
        <v>0</v>
      </c>
    </row>
    <row r="990" spans="1:25" ht="18" customHeight="1" hidden="1">
      <c r="A990" s="120"/>
      <c r="B990" s="120"/>
      <c r="C990" s="289" t="s">
        <v>628</v>
      </c>
      <c r="D990" s="41"/>
      <c r="E990" s="86"/>
      <c r="F990" s="29"/>
      <c r="G990" s="114"/>
      <c r="H990" s="122"/>
      <c r="I990" s="235"/>
      <c r="J990" s="31">
        <f>SUM(J991:J995)</f>
        <v>0</v>
      </c>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23"/>
      <c r="B991" s="123"/>
      <c r="C991" s="290"/>
      <c r="D991" s="42"/>
      <c r="E991" s="28"/>
      <c r="F991" s="148"/>
      <c r="G991" s="114"/>
      <c r="H991" s="149"/>
      <c r="I991" s="243"/>
      <c r="J991" s="54"/>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21"/>
      <c r="B992" s="121"/>
      <c r="C992" s="290"/>
      <c r="D992" s="42"/>
      <c r="E992" s="86"/>
      <c r="F992" s="29"/>
      <c r="G992" s="114"/>
      <c r="H992" s="122"/>
      <c r="I992" s="235"/>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21"/>
      <c r="B993" s="121"/>
      <c r="C993" s="290"/>
      <c r="D993" s="42"/>
      <c r="E993" s="86"/>
      <c r="F993" s="29"/>
      <c r="G993" s="114"/>
      <c r="H993" s="122"/>
      <c r="I993" s="235"/>
      <c r="J993" s="29"/>
      <c r="K993" s="29"/>
      <c r="L993" s="29"/>
      <c r="M993" s="29"/>
      <c r="N993" s="29"/>
      <c r="O993" s="29"/>
      <c r="P993" s="29"/>
      <c r="Q993" s="29"/>
      <c r="R993" s="29"/>
      <c r="S993" s="29"/>
      <c r="T993" s="29"/>
      <c r="U993" s="29"/>
      <c r="V993" s="29"/>
      <c r="W993" s="29">
        <f t="shared" si="124"/>
        <v>0</v>
      </c>
      <c r="X993" s="29"/>
      <c r="Y993" s="29">
        <f t="shared" si="123"/>
        <v>0</v>
      </c>
    </row>
    <row r="994" spans="1:25" ht="18.75" customHeight="1" hidden="1">
      <c r="A994" s="121"/>
      <c r="B994" s="121"/>
      <c r="C994" s="290"/>
      <c r="D994" s="42"/>
      <c r="E994" s="36"/>
      <c r="F994" s="29"/>
      <c r="G994" s="114"/>
      <c r="H994" s="122"/>
      <c r="I994" s="235"/>
      <c r="J994" s="29"/>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21"/>
      <c r="B995" s="121"/>
      <c r="C995" s="290"/>
      <c r="D995" s="42"/>
      <c r="E995" s="36"/>
      <c r="F995" s="29"/>
      <c r="G995" s="114"/>
      <c r="H995" s="122"/>
      <c r="I995" s="235"/>
      <c r="J995" s="29"/>
      <c r="K995" s="29"/>
      <c r="L995" s="29"/>
      <c r="M995" s="29"/>
      <c r="N995" s="29"/>
      <c r="O995" s="29"/>
      <c r="P995" s="29"/>
      <c r="Q995" s="29"/>
      <c r="R995" s="29"/>
      <c r="S995" s="29"/>
      <c r="T995" s="29"/>
      <c r="U995" s="29"/>
      <c r="V995" s="29"/>
      <c r="W995" s="29">
        <f t="shared" si="124"/>
        <v>0</v>
      </c>
      <c r="X995" s="29"/>
      <c r="Y995" s="29">
        <f t="shared" si="123"/>
        <v>0</v>
      </c>
    </row>
    <row r="996" spans="1:25" ht="18" hidden="1">
      <c r="A996" s="123"/>
      <c r="B996" s="123"/>
      <c r="C996" s="42" t="s">
        <v>815</v>
      </c>
      <c r="D996" s="42"/>
      <c r="E996" s="28"/>
      <c r="F996" s="148"/>
      <c r="G996" s="114"/>
      <c r="H996" s="149"/>
      <c r="I996" s="243"/>
      <c r="J996" s="60"/>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0"/>
      <c r="B997" s="120"/>
      <c r="C997" s="289" t="s">
        <v>816</v>
      </c>
      <c r="D997" s="41"/>
      <c r="E997" s="86"/>
      <c r="F997" s="29"/>
      <c r="G997" s="114"/>
      <c r="H997" s="122"/>
      <c r="I997" s="235"/>
      <c r="J997" s="31">
        <f>J998+J999+J1000+J1006+J1009+J1016</f>
        <v>0</v>
      </c>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1"/>
      <c r="B998" s="121"/>
      <c r="C998" s="290"/>
      <c r="D998" s="42"/>
      <c r="E998" s="28"/>
      <c r="F998" s="29"/>
      <c r="G998" s="114"/>
      <c r="H998" s="122"/>
      <c r="I998" s="235"/>
      <c r="J998" s="54"/>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1"/>
      <c r="B999" s="121"/>
      <c r="C999" s="290"/>
      <c r="D999" s="42"/>
      <c r="E999" s="28"/>
      <c r="F999" s="29"/>
      <c r="G999" s="114"/>
      <c r="H999" s="122"/>
      <c r="I999" s="235"/>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290"/>
      <c r="D1000" s="42"/>
      <c r="E1000" s="30" t="s">
        <v>974</v>
      </c>
      <c r="F1000" s="29"/>
      <c r="G1000" s="114"/>
      <c r="H1000" s="122"/>
      <c r="I1000" s="235"/>
      <c r="J1000" s="60">
        <f>SUM(J1001:J1005)</f>
        <v>0</v>
      </c>
      <c r="K1000" s="29"/>
      <c r="L1000" s="29"/>
      <c r="M1000" s="29"/>
      <c r="N1000" s="29"/>
      <c r="O1000" s="29"/>
      <c r="P1000" s="29"/>
      <c r="Q1000" s="29"/>
      <c r="R1000" s="29"/>
      <c r="S1000" s="29"/>
      <c r="T1000" s="29"/>
      <c r="U1000" s="29"/>
      <c r="V1000" s="29"/>
      <c r="W1000" s="29">
        <f t="shared" si="124"/>
        <v>0</v>
      </c>
      <c r="X1000" s="29"/>
      <c r="Y1000" s="29">
        <f t="shared" si="123"/>
        <v>0</v>
      </c>
    </row>
    <row r="1001" spans="1:25" ht="31.5" customHeight="1" hidden="1">
      <c r="A1001" s="8"/>
      <c r="B1001" s="8"/>
      <c r="C1001" s="290"/>
      <c r="D1001" s="42"/>
      <c r="E1001" s="28" t="s">
        <v>602</v>
      </c>
      <c r="F1001" s="29"/>
      <c r="G1001" s="114"/>
      <c r="H1001" s="122"/>
      <c r="I1001" s="235"/>
      <c r="J1001" s="54"/>
      <c r="K1001" s="29"/>
      <c r="L1001" s="29"/>
      <c r="M1001" s="29"/>
      <c r="N1001" s="29"/>
      <c r="O1001" s="29"/>
      <c r="P1001" s="29"/>
      <c r="Q1001" s="29"/>
      <c r="R1001" s="29"/>
      <c r="S1001" s="29"/>
      <c r="T1001" s="29"/>
      <c r="U1001" s="29"/>
      <c r="V1001" s="29"/>
      <c r="W1001" s="29">
        <f t="shared" si="124"/>
        <v>0</v>
      </c>
      <c r="X1001" s="29"/>
      <c r="Y1001" s="29">
        <f t="shared" si="123"/>
        <v>0</v>
      </c>
    </row>
    <row r="1002" spans="1:25" ht="47.25" customHeight="1" hidden="1">
      <c r="A1002" s="8"/>
      <c r="B1002" s="8"/>
      <c r="C1002" s="290"/>
      <c r="D1002" s="42"/>
      <c r="E1002" s="28" t="s">
        <v>603</v>
      </c>
      <c r="F1002" s="29"/>
      <c r="G1002" s="114"/>
      <c r="H1002" s="122"/>
      <c r="I1002" s="235"/>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290"/>
      <c r="D1003" s="42"/>
      <c r="E1003" s="28" t="s">
        <v>520</v>
      </c>
      <c r="F1003" s="29"/>
      <c r="G1003" s="114"/>
      <c r="H1003" s="122"/>
      <c r="I1003" s="235"/>
      <c r="J1003" s="54"/>
      <c r="K1003" s="29"/>
      <c r="L1003" s="29"/>
      <c r="M1003" s="29"/>
      <c r="N1003" s="29"/>
      <c r="O1003" s="29"/>
      <c r="P1003" s="29"/>
      <c r="Q1003" s="29"/>
      <c r="R1003" s="29"/>
      <c r="S1003" s="29"/>
      <c r="T1003" s="29"/>
      <c r="U1003" s="29"/>
      <c r="V1003" s="29"/>
      <c r="W1003" s="29">
        <f t="shared" si="124"/>
        <v>0</v>
      </c>
      <c r="X1003" s="29"/>
      <c r="Y1003" s="29">
        <f t="shared" si="123"/>
        <v>0</v>
      </c>
    </row>
    <row r="1004" spans="1:25" ht="55.5" customHeight="1" hidden="1">
      <c r="A1004" s="8"/>
      <c r="B1004" s="8"/>
      <c r="C1004" s="290"/>
      <c r="D1004" s="42"/>
      <c r="E1004" s="28" t="s">
        <v>521</v>
      </c>
      <c r="F1004" s="29"/>
      <c r="G1004" s="114"/>
      <c r="H1004" s="122"/>
      <c r="I1004" s="235"/>
      <c r="J1004" s="54"/>
      <c r="K1004" s="29"/>
      <c r="L1004" s="29"/>
      <c r="M1004" s="29"/>
      <c r="N1004" s="29"/>
      <c r="O1004" s="29"/>
      <c r="P1004" s="29"/>
      <c r="Q1004" s="29"/>
      <c r="R1004" s="29"/>
      <c r="S1004" s="29"/>
      <c r="T1004" s="29"/>
      <c r="U1004" s="29"/>
      <c r="V1004" s="29"/>
      <c r="W1004" s="29">
        <f t="shared" si="124"/>
        <v>0</v>
      </c>
      <c r="X1004" s="29"/>
      <c r="Y1004" s="29">
        <f t="shared" si="123"/>
        <v>0</v>
      </c>
    </row>
    <row r="1005" spans="1:25" ht="47.25" customHeight="1" hidden="1">
      <c r="A1005" s="8"/>
      <c r="B1005" s="8"/>
      <c r="C1005" s="290"/>
      <c r="D1005" s="42"/>
      <c r="E1005" s="28" t="s">
        <v>522</v>
      </c>
      <c r="F1005" s="29"/>
      <c r="G1005" s="114"/>
      <c r="H1005" s="122"/>
      <c r="I1005" s="235"/>
      <c r="J1005" s="54"/>
      <c r="K1005" s="29"/>
      <c r="L1005" s="29"/>
      <c r="M1005" s="29"/>
      <c r="N1005" s="29"/>
      <c r="O1005" s="29"/>
      <c r="P1005" s="29"/>
      <c r="Q1005" s="29"/>
      <c r="R1005" s="29"/>
      <c r="S1005" s="29"/>
      <c r="T1005" s="29"/>
      <c r="U1005" s="29"/>
      <c r="V1005" s="29"/>
      <c r="W1005" s="29">
        <f t="shared" si="124"/>
        <v>0</v>
      </c>
      <c r="X1005" s="29"/>
      <c r="Y1005" s="29">
        <f t="shared" si="123"/>
        <v>0</v>
      </c>
    </row>
    <row r="1006" spans="1:25" ht="47.25" customHeight="1" hidden="1">
      <c r="A1006" s="8"/>
      <c r="B1006" s="8"/>
      <c r="C1006" s="290"/>
      <c r="D1006" s="42"/>
      <c r="E1006" s="30" t="s">
        <v>188</v>
      </c>
      <c r="F1006" s="31"/>
      <c r="G1006" s="125"/>
      <c r="H1006" s="145"/>
      <c r="I1006" s="241"/>
      <c r="J1006" s="60">
        <f>SUM(J1007:J1008)</f>
        <v>0</v>
      </c>
      <c r="K1006" s="29"/>
      <c r="L1006" s="29"/>
      <c r="M1006" s="29"/>
      <c r="N1006" s="29"/>
      <c r="O1006" s="29"/>
      <c r="P1006" s="29"/>
      <c r="Q1006" s="29"/>
      <c r="R1006" s="29"/>
      <c r="S1006" s="29"/>
      <c r="T1006" s="29"/>
      <c r="U1006" s="29"/>
      <c r="V1006" s="29"/>
      <c r="W1006" s="29">
        <f t="shared" si="124"/>
        <v>0</v>
      </c>
      <c r="X1006" s="29"/>
      <c r="Y1006" s="29">
        <f t="shared" si="123"/>
        <v>0</v>
      </c>
    </row>
    <row r="1007" spans="1:25" ht="31.5" customHeight="1" hidden="1">
      <c r="A1007" s="8"/>
      <c r="B1007" s="8"/>
      <c r="C1007" s="290"/>
      <c r="D1007" s="42"/>
      <c r="E1007" s="28" t="s">
        <v>156</v>
      </c>
      <c r="F1007" s="29"/>
      <c r="G1007" s="114"/>
      <c r="H1007" s="122"/>
      <c r="I1007" s="235"/>
      <c r="J1007" s="54"/>
      <c r="K1007" s="29"/>
      <c r="L1007" s="29"/>
      <c r="M1007" s="29"/>
      <c r="N1007" s="29"/>
      <c r="O1007" s="29"/>
      <c r="P1007" s="29"/>
      <c r="Q1007" s="29"/>
      <c r="R1007" s="29"/>
      <c r="S1007" s="29"/>
      <c r="T1007" s="29"/>
      <c r="U1007" s="29"/>
      <c r="V1007" s="29"/>
      <c r="W1007" s="29">
        <f t="shared" si="124"/>
        <v>0</v>
      </c>
      <c r="X1007" s="29"/>
      <c r="Y1007" s="29">
        <f t="shared" si="123"/>
        <v>0</v>
      </c>
    </row>
    <row r="1008" spans="1:25" ht="31.5" customHeight="1" hidden="1">
      <c r="A1008" s="8"/>
      <c r="B1008" s="8"/>
      <c r="C1008" s="290"/>
      <c r="D1008" s="42"/>
      <c r="E1008" s="28" t="s">
        <v>917</v>
      </c>
      <c r="F1008" s="29"/>
      <c r="G1008" s="114"/>
      <c r="H1008" s="122"/>
      <c r="I1008" s="235"/>
      <c r="J1008" s="54"/>
      <c r="K1008" s="29"/>
      <c r="L1008" s="29"/>
      <c r="M1008" s="29"/>
      <c r="N1008" s="29"/>
      <c r="O1008" s="29"/>
      <c r="P1008" s="29"/>
      <c r="Q1008" s="29"/>
      <c r="R1008" s="29"/>
      <c r="S1008" s="29"/>
      <c r="T1008" s="29"/>
      <c r="U1008" s="29"/>
      <c r="V1008" s="29"/>
      <c r="W1008" s="29">
        <f t="shared" si="124"/>
        <v>0</v>
      </c>
      <c r="X1008" s="29"/>
      <c r="Y1008" s="29">
        <f t="shared" si="123"/>
        <v>0</v>
      </c>
    </row>
    <row r="1009" spans="1:25" ht="47.25" customHeight="1" hidden="1">
      <c r="A1009" s="8"/>
      <c r="B1009" s="8"/>
      <c r="C1009" s="290"/>
      <c r="D1009" s="42"/>
      <c r="E1009" s="30" t="s">
        <v>918</v>
      </c>
      <c r="F1009" s="31"/>
      <c r="G1009" s="125"/>
      <c r="H1009" s="145"/>
      <c r="I1009" s="241"/>
      <c r="J1009" s="60">
        <f>SUM(J1010:J1015)</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8"/>
      <c r="B1010" s="8"/>
      <c r="C1010" s="290"/>
      <c r="D1010" s="42"/>
      <c r="E1010" s="28"/>
      <c r="F1010" s="29"/>
      <c r="G1010" s="114"/>
      <c r="H1010" s="122"/>
      <c r="I1010" s="235"/>
      <c r="J1010" s="54"/>
      <c r="K1010" s="29"/>
      <c r="L1010" s="29"/>
      <c r="M1010" s="29"/>
      <c r="N1010" s="29"/>
      <c r="O1010" s="29"/>
      <c r="P1010" s="29"/>
      <c r="Q1010" s="29"/>
      <c r="R1010" s="29"/>
      <c r="S1010" s="29"/>
      <c r="T1010" s="29"/>
      <c r="U1010" s="29"/>
      <c r="V1010" s="29"/>
      <c r="W1010" s="29">
        <f t="shared" si="124"/>
        <v>0</v>
      </c>
      <c r="X1010" s="29"/>
      <c r="Y1010" s="29">
        <f t="shared" si="123"/>
        <v>0</v>
      </c>
    </row>
    <row r="1011" spans="1:25" ht="21" customHeight="1" hidden="1">
      <c r="A1011" s="8"/>
      <c r="B1011" s="8"/>
      <c r="C1011" s="290"/>
      <c r="D1011" s="42"/>
      <c r="E1011" s="28"/>
      <c r="F1011" s="29"/>
      <c r="G1011" s="114"/>
      <c r="H1011" s="122"/>
      <c r="I1011" s="235"/>
      <c r="J1011" s="54"/>
      <c r="K1011" s="29"/>
      <c r="L1011" s="29"/>
      <c r="M1011" s="29"/>
      <c r="N1011" s="29"/>
      <c r="O1011" s="29"/>
      <c r="P1011" s="29"/>
      <c r="Q1011" s="29"/>
      <c r="R1011" s="29"/>
      <c r="S1011" s="29"/>
      <c r="T1011" s="29"/>
      <c r="U1011" s="29"/>
      <c r="V1011" s="29"/>
      <c r="W1011" s="29">
        <f t="shared" si="124"/>
        <v>0</v>
      </c>
      <c r="X1011" s="29"/>
      <c r="Y1011" s="29">
        <f t="shared" si="123"/>
        <v>0</v>
      </c>
    </row>
    <row r="1012" spans="1:25" ht="51" customHeight="1" hidden="1">
      <c r="A1012" s="8"/>
      <c r="B1012" s="8"/>
      <c r="C1012" s="290"/>
      <c r="D1012" s="42"/>
      <c r="E1012" s="28"/>
      <c r="F1012" s="29"/>
      <c r="G1012" s="114"/>
      <c r="H1012" s="122"/>
      <c r="I1012" s="235"/>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290"/>
      <c r="D1013" s="42"/>
      <c r="E1013" s="28"/>
      <c r="F1013" s="29"/>
      <c r="G1013" s="114"/>
      <c r="H1013" s="122"/>
      <c r="I1013" s="235"/>
      <c r="J1013" s="54"/>
      <c r="K1013" s="29"/>
      <c r="L1013" s="29"/>
      <c r="M1013" s="29"/>
      <c r="N1013" s="29"/>
      <c r="O1013" s="29"/>
      <c r="P1013" s="29"/>
      <c r="Q1013" s="29"/>
      <c r="R1013" s="29"/>
      <c r="S1013" s="29"/>
      <c r="T1013" s="29"/>
      <c r="U1013" s="29"/>
      <c r="V1013" s="29"/>
      <c r="W1013" s="29">
        <f t="shared" si="124"/>
        <v>0</v>
      </c>
      <c r="X1013" s="29"/>
      <c r="Y1013" s="29">
        <f t="shared" si="123"/>
        <v>0</v>
      </c>
    </row>
    <row r="1014" spans="1:25" ht="18.75" customHeight="1" hidden="1">
      <c r="A1014" s="8"/>
      <c r="B1014" s="8"/>
      <c r="C1014" s="290"/>
      <c r="D1014" s="42"/>
      <c r="E1014" s="28"/>
      <c r="F1014" s="29"/>
      <c r="G1014" s="114"/>
      <c r="H1014" s="122"/>
      <c r="I1014" s="235"/>
      <c r="J1014" s="54"/>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290"/>
      <c r="D1015" s="42"/>
      <c r="E1015" s="28"/>
      <c r="F1015" s="29"/>
      <c r="G1015" s="114"/>
      <c r="H1015" s="122"/>
      <c r="I1015" s="235"/>
      <c r="J1015" s="54"/>
      <c r="K1015" s="29"/>
      <c r="L1015" s="29"/>
      <c r="M1015" s="29"/>
      <c r="N1015" s="29"/>
      <c r="O1015" s="29"/>
      <c r="P1015" s="29"/>
      <c r="Q1015" s="29"/>
      <c r="R1015" s="29"/>
      <c r="S1015" s="29"/>
      <c r="T1015" s="29"/>
      <c r="U1015" s="29"/>
      <c r="V1015" s="29"/>
      <c r="W1015" s="29">
        <f t="shared" si="124"/>
        <v>0</v>
      </c>
      <c r="X1015" s="29"/>
      <c r="Y1015" s="29">
        <f t="shared" si="123"/>
        <v>0</v>
      </c>
    </row>
    <row r="1016" spans="1:25" ht="31.5" customHeight="1" hidden="1">
      <c r="A1016" s="8"/>
      <c r="B1016" s="8"/>
      <c r="C1016" s="290"/>
      <c r="D1016" s="42"/>
      <c r="E1016" s="30" t="s">
        <v>388</v>
      </c>
      <c r="F1016" s="31"/>
      <c r="G1016" s="125"/>
      <c r="H1016" s="145"/>
      <c r="I1016" s="241"/>
      <c r="J1016" s="60">
        <f>J1017</f>
        <v>0</v>
      </c>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8"/>
      <c r="B1017" s="8"/>
      <c r="C1017" s="290"/>
      <c r="D1017" s="42"/>
      <c r="E1017" s="74"/>
      <c r="F1017" s="150"/>
      <c r="G1017" s="134"/>
      <c r="H1017" s="151"/>
      <c r="I1017" s="245"/>
      <c r="J1017" s="152"/>
      <c r="K1017" s="29"/>
      <c r="L1017" s="29"/>
      <c r="M1017" s="29"/>
      <c r="N1017" s="29"/>
      <c r="O1017" s="29"/>
      <c r="P1017" s="29"/>
      <c r="Q1017" s="29"/>
      <c r="R1017" s="29"/>
      <c r="S1017" s="29"/>
      <c r="T1017" s="29"/>
      <c r="U1017" s="29"/>
      <c r="V1017" s="29"/>
      <c r="W1017" s="29">
        <f t="shared" si="124"/>
        <v>0</v>
      </c>
      <c r="X1017" s="29"/>
      <c r="Y1017" s="29">
        <f t="shared" si="123"/>
        <v>0</v>
      </c>
    </row>
    <row r="1018" spans="1:25" ht="56.25">
      <c r="A1018" s="115">
        <v>4800000</v>
      </c>
      <c r="B1018" s="153"/>
      <c r="C1018" s="96"/>
      <c r="D1018" s="20" t="s">
        <v>1065</v>
      </c>
      <c r="E1018" s="154"/>
      <c r="F1018" s="155"/>
      <c r="G1018" s="156"/>
      <c r="H1018" s="155"/>
      <c r="I1018" s="246"/>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59082909.49</v>
      </c>
      <c r="Y1018" s="29">
        <f t="shared" si="123"/>
        <v>44254561.51</v>
      </c>
    </row>
    <row r="1019" spans="1:25" ht="56.25">
      <c r="A1019" s="115">
        <v>4810000</v>
      </c>
      <c r="B1019" s="153"/>
      <c r="C1019" s="96"/>
      <c r="D1019" s="20" t="s">
        <v>1065</v>
      </c>
      <c r="E1019" s="154"/>
      <c r="F1019" s="155"/>
      <c r="G1019" s="156"/>
      <c r="H1019" s="155"/>
      <c r="I1019" s="246"/>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59082909.49</v>
      </c>
      <c r="Y1019" s="29">
        <f t="shared" si="123"/>
        <v>44254561.51</v>
      </c>
    </row>
    <row r="1020" spans="1:25" ht="18.75">
      <c r="A1020" s="293" t="s">
        <v>328</v>
      </c>
      <c r="B1020" s="293" t="s">
        <v>815</v>
      </c>
      <c r="C1020" s="307" t="s">
        <v>814</v>
      </c>
      <c r="D1020" s="278" t="s">
        <v>1012</v>
      </c>
      <c r="E1020" s="65"/>
      <c r="F1020" s="65"/>
      <c r="G1020" s="65"/>
      <c r="H1020" s="65"/>
      <c r="I1020" s="256"/>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461979.98</v>
      </c>
      <c r="Y1020" s="29">
        <f t="shared" si="123"/>
        <v>87020.02000000002</v>
      </c>
    </row>
    <row r="1021" spans="1:25" ht="18.75">
      <c r="A1021" s="299"/>
      <c r="B1021" s="299"/>
      <c r="C1021" s="308"/>
      <c r="D1021" s="279"/>
      <c r="E1021" s="86" t="s">
        <v>488</v>
      </c>
      <c r="F1021" s="86"/>
      <c r="G1021" s="86"/>
      <c r="H1021" s="86"/>
      <c r="I1021" s="226">
        <v>3110</v>
      </c>
      <c r="J1021" s="29">
        <v>502000</v>
      </c>
      <c r="K1021" s="29"/>
      <c r="L1021" s="29"/>
      <c r="M1021" s="29"/>
      <c r="N1021" s="29"/>
      <c r="O1021" s="29">
        <v>502000</v>
      </c>
      <c r="P1021" s="29">
        <v>-500000</v>
      </c>
      <c r="Q1021" s="29">
        <v>415000</v>
      </c>
      <c r="R1021" s="29">
        <v>85000</v>
      </c>
      <c r="S1021" s="29"/>
      <c r="T1021" s="29"/>
      <c r="U1021" s="29"/>
      <c r="V1021" s="29"/>
      <c r="W1021" s="29">
        <f t="shared" si="124"/>
        <v>0</v>
      </c>
      <c r="X1021" s="29">
        <f>414980</f>
        <v>414980</v>
      </c>
      <c r="Y1021" s="29">
        <f t="shared" si="123"/>
        <v>87020</v>
      </c>
    </row>
    <row r="1022" spans="1:25" ht="54" hidden="1">
      <c r="A1022" s="299"/>
      <c r="B1022" s="299"/>
      <c r="C1022" s="308"/>
      <c r="D1022" s="279"/>
      <c r="E1022" s="86" t="s">
        <v>489</v>
      </c>
      <c r="F1022" s="86"/>
      <c r="G1022" s="86"/>
      <c r="H1022" s="86"/>
      <c r="I1022" s="226">
        <v>3110</v>
      </c>
      <c r="J1022" s="29">
        <f>15480-15480</f>
        <v>0</v>
      </c>
      <c r="K1022" s="29"/>
      <c r="L1022" s="29"/>
      <c r="M1022" s="29"/>
      <c r="N1022" s="29"/>
      <c r="O1022" s="29"/>
      <c r="P1022" s="29"/>
      <c r="Q1022" s="29"/>
      <c r="R1022" s="29">
        <f>15480-15480</f>
        <v>0</v>
      </c>
      <c r="S1022" s="29"/>
      <c r="T1022" s="29"/>
      <c r="U1022" s="29"/>
      <c r="V1022" s="29"/>
      <c r="W1022" s="29">
        <f t="shared" si="124"/>
        <v>0</v>
      </c>
      <c r="X1022" s="29"/>
      <c r="Y1022" s="29">
        <f t="shared" si="123"/>
        <v>0</v>
      </c>
    </row>
    <row r="1023" spans="1:25" ht="65.25" customHeight="1">
      <c r="A1023" s="299"/>
      <c r="B1023" s="294"/>
      <c r="C1023" s="308"/>
      <c r="D1023" s="279"/>
      <c r="E1023" s="86" t="s">
        <v>503</v>
      </c>
      <c r="F1023" s="86"/>
      <c r="G1023" s="86"/>
      <c r="H1023" s="86"/>
      <c r="I1023" s="226">
        <v>3110</v>
      </c>
      <c r="J1023" s="29">
        <v>47000</v>
      </c>
      <c r="K1023" s="29"/>
      <c r="L1023" s="29"/>
      <c r="M1023" s="29"/>
      <c r="N1023" s="29">
        <v>47000</v>
      </c>
      <c r="O1023" s="29">
        <f>47000-47000</f>
        <v>0</v>
      </c>
      <c r="P1023" s="29"/>
      <c r="Q1023" s="29"/>
      <c r="R1023" s="29"/>
      <c r="S1023" s="29"/>
      <c r="T1023" s="29"/>
      <c r="U1023" s="29"/>
      <c r="V1023" s="29"/>
      <c r="W1023" s="29">
        <f t="shared" si="124"/>
        <v>0</v>
      </c>
      <c r="X1023" s="29">
        <v>46999.98</v>
      </c>
      <c r="Y1023" s="29">
        <f t="shared" si="123"/>
        <v>0.01999999999679858</v>
      </c>
    </row>
    <row r="1024" spans="1:25" ht="18.75">
      <c r="A1024" s="289" t="s">
        <v>1090</v>
      </c>
      <c r="B1024" s="289" t="s">
        <v>1167</v>
      </c>
      <c r="C1024" s="289" t="s">
        <v>820</v>
      </c>
      <c r="D1024" s="278" t="s">
        <v>190</v>
      </c>
      <c r="E1024" s="65"/>
      <c r="F1024" s="65"/>
      <c r="G1024" s="65"/>
      <c r="H1024" s="65"/>
      <c r="I1024" s="256"/>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3"/>
        <v>1000000</v>
      </c>
    </row>
    <row r="1025" spans="1:25" ht="66.75" customHeight="1">
      <c r="A1025" s="290"/>
      <c r="B1025" s="290"/>
      <c r="C1025" s="290"/>
      <c r="D1025" s="279"/>
      <c r="E1025" s="43" t="s">
        <v>504</v>
      </c>
      <c r="F1025" s="135">
        <f>J1025</f>
        <v>2000000</v>
      </c>
      <c r="G1025" s="134">
        <v>1</v>
      </c>
      <c r="H1025" s="135">
        <f>J1025</f>
        <v>2000000</v>
      </c>
      <c r="I1025" s="234">
        <v>3132</v>
      </c>
      <c r="J1025" s="40">
        <v>2000000</v>
      </c>
      <c r="K1025" s="29"/>
      <c r="L1025" s="29"/>
      <c r="M1025" s="29"/>
      <c r="N1025" s="29">
        <v>1000000</v>
      </c>
      <c r="O1025" s="29">
        <v>-1000000</v>
      </c>
      <c r="P1025" s="29"/>
      <c r="Q1025" s="29">
        <v>1000000</v>
      </c>
      <c r="R1025" s="29"/>
      <c r="S1025" s="29"/>
      <c r="T1025" s="29"/>
      <c r="U1025" s="29">
        <v>400000</v>
      </c>
      <c r="V1025" s="29">
        <v>600000</v>
      </c>
      <c r="W1025" s="29">
        <f t="shared" si="124"/>
        <v>0</v>
      </c>
      <c r="X1025" s="29"/>
      <c r="Y1025" s="29">
        <f t="shared" si="123"/>
        <v>1000000</v>
      </c>
    </row>
    <row r="1026" spans="1:25" ht="56.25">
      <c r="A1026" s="290"/>
      <c r="B1026" s="290"/>
      <c r="C1026" s="290"/>
      <c r="D1026" s="279"/>
      <c r="E1026" s="43" t="s">
        <v>686</v>
      </c>
      <c r="F1026" s="135">
        <f>J1026</f>
        <v>400000</v>
      </c>
      <c r="G1026" s="134">
        <v>1</v>
      </c>
      <c r="H1026" s="135">
        <f>J1026</f>
        <v>400000</v>
      </c>
      <c r="I1026" s="234">
        <v>3132</v>
      </c>
      <c r="J1026" s="40">
        <v>400000</v>
      </c>
      <c r="K1026" s="29"/>
      <c r="L1026" s="29"/>
      <c r="M1026" s="29"/>
      <c r="N1026" s="29"/>
      <c r="O1026" s="29"/>
      <c r="P1026" s="29"/>
      <c r="Q1026" s="29"/>
      <c r="R1026" s="29"/>
      <c r="S1026" s="29"/>
      <c r="T1026" s="29"/>
      <c r="U1026" s="29"/>
      <c r="V1026" s="29">
        <v>400000</v>
      </c>
      <c r="W1026" s="29">
        <f t="shared" si="124"/>
        <v>0</v>
      </c>
      <c r="X1026" s="29"/>
      <c r="Y1026" s="29">
        <f t="shared" si="123"/>
        <v>0</v>
      </c>
    </row>
    <row r="1027" spans="1:25" ht="75">
      <c r="A1027" s="290"/>
      <c r="B1027" s="290"/>
      <c r="C1027" s="290"/>
      <c r="D1027" s="279"/>
      <c r="E1027" s="43" t="s">
        <v>931</v>
      </c>
      <c r="F1027" s="135">
        <f>J1027</f>
        <v>164000</v>
      </c>
      <c r="G1027" s="134">
        <v>1</v>
      </c>
      <c r="H1027" s="135">
        <f>J1027</f>
        <v>164000</v>
      </c>
      <c r="I1027" s="234">
        <v>3132</v>
      </c>
      <c r="J1027" s="40">
        <v>164000</v>
      </c>
      <c r="K1027" s="29"/>
      <c r="L1027" s="29"/>
      <c r="M1027" s="29"/>
      <c r="N1027" s="29"/>
      <c r="O1027" s="29"/>
      <c r="P1027" s="29"/>
      <c r="Q1027" s="29"/>
      <c r="R1027" s="29"/>
      <c r="S1027" s="29"/>
      <c r="T1027" s="29"/>
      <c r="U1027" s="29">
        <v>80000</v>
      </c>
      <c r="V1027" s="29">
        <v>84000</v>
      </c>
      <c r="W1027" s="29">
        <f t="shared" si="124"/>
        <v>0</v>
      </c>
      <c r="X1027" s="29"/>
      <c r="Y1027" s="29">
        <f t="shared" si="123"/>
        <v>0</v>
      </c>
    </row>
    <row r="1028" spans="1:25" ht="18" hidden="1">
      <c r="A1028" s="290"/>
      <c r="B1028" s="297"/>
      <c r="C1028" s="290"/>
      <c r="D1028" s="279"/>
      <c r="E1028" s="36"/>
      <c r="F1028" s="36"/>
      <c r="G1028" s="36"/>
      <c r="H1028" s="36"/>
      <c r="I1028" s="224"/>
      <c r="J1028" s="40"/>
      <c r="K1028" s="29"/>
      <c r="L1028" s="29"/>
      <c r="M1028" s="29"/>
      <c r="N1028" s="29"/>
      <c r="O1028" s="29"/>
      <c r="P1028" s="29"/>
      <c r="Q1028" s="29"/>
      <c r="R1028" s="29"/>
      <c r="S1028" s="29"/>
      <c r="T1028" s="29"/>
      <c r="U1028" s="29"/>
      <c r="V1028" s="29"/>
      <c r="W1028" s="29">
        <f t="shared" si="124"/>
        <v>0</v>
      </c>
      <c r="X1028" s="29"/>
      <c r="Y1028" s="29">
        <f t="shared" si="123"/>
        <v>0</v>
      </c>
    </row>
    <row r="1029" spans="1:25" ht="18" customHeight="1" hidden="1">
      <c r="A1029" s="305" t="s">
        <v>1126</v>
      </c>
      <c r="B1029" s="6"/>
      <c r="C1029" s="305" t="s">
        <v>1127</v>
      </c>
      <c r="D1029" s="300" t="s">
        <v>191</v>
      </c>
      <c r="E1029" s="65"/>
      <c r="F1029" s="65"/>
      <c r="G1029" s="65"/>
      <c r="H1029" s="65"/>
      <c r="I1029" s="256"/>
      <c r="J1029" s="10">
        <f>J1030</f>
        <v>0</v>
      </c>
      <c r="K1029" s="29"/>
      <c r="L1029" s="29"/>
      <c r="M1029" s="29"/>
      <c r="N1029" s="29"/>
      <c r="O1029" s="29"/>
      <c r="P1029" s="29"/>
      <c r="Q1029" s="29"/>
      <c r="R1029" s="29"/>
      <c r="S1029" s="29"/>
      <c r="T1029" s="29"/>
      <c r="U1029" s="29"/>
      <c r="V1029" s="29"/>
      <c r="W1029" s="29">
        <f t="shared" si="124"/>
        <v>0</v>
      </c>
      <c r="X1029" s="29"/>
      <c r="Y1029" s="29">
        <f t="shared" si="123"/>
        <v>0</v>
      </c>
    </row>
    <row r="1030" spans="1:25" ht="18" hidden="1">
      <c r="A1030" s="306"/>
      <c r="B1030" s="15"/>
      <c r="C1030" s="306"/>
      <c r="D1030" s="301"/>
      <c r="E1030" s="28"/>
      <c r="F1030" s="28"/>
      <c r="G1030" s="28"/>
      <c r="H1030" s="28"/>
      <c r="I1030" s="226"/>
      <c r="J1030" s="29"/>
      <c r="K1030" s="29"/>
      <c r="L1030" s="29"/>
      <c r="M1030" s="29"/>
      <c r="N1030" s="29"/>
      <c r="O1030" s="29"/>
      <c r="P1030" s="29"/>
      <c r="Q1030" s="29"/>
      <c r="R1030" s="29"/>
      <c r="S1030" s="29"/>
      <c r="T1030" s="29"/>
      <c r="U1030" s="29"/>
      <c r="V1030" s="29"/>
      <c r="W1030" s="29">
        <f t="shared" si="124"/>
        <v>0</v>
      </c>
      <c r="X1030" s="29"/>
      <c r="Y1030" s="29">
        <f aca="true" t="shared" si="129" ref="Y1030:Y1093">K1030+L1030+M1030+N1030+O1030+P1030+Q1030+R1030-X1030</f>
        <v>0</v>
      </c>
    </row>
    <row r="1031" spans="1:25" ht="18" hidden="1">
      <c r="A1031" s="293" t="s">
        <v>647</v>
      </c>
      <c r="B1031" s="48"/>
      <c r="C1031" s="293" t="s">
        <v>646</v>
      </c>
      <c r="D1031" s="278" t="s">
        <v>1005</v>
      </c>
      <c r="E1031" s="30"/>
      <c r="F1031" s="30"/>
      <c r="G1031" s="30"/>
      <c r="H1031" s="30"/>
      <c r="I1031" s="227"/>
      <c r="J1031" s="87">
        <f>J1032</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294"/>
      <c r="B1032" s="51"/>
      <c r="C1032" s="294"/>
      <c r="D1032" s="279"/>
      <c r="E1032" s="90"/>
      <c r="F1032" s="90"/>
      <c r="G1032" s="90"/>
      <c r="H1032" s="90"/>
      <c r="I1032" s="256"/>
      <c r="J1032" s="89"/>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289" t="s">
        <v>1006</v>
      </c>
      <c r="B1033" s="41"/>
      <c r="C1033" s="289" t="s">
        <v>1007</v>
      </c>
      <c r="D1033" s="278" t="s">
        <v>274</v>
      </c>
      <c r="E1033" s="65"/>
      <c r="F1033" s="65"/>
      <c r="G1033" s="65"/>
      <c r="H1033" s="65"/>
      <c r="I1033" s="256"/>
      <c r="J1033" s="87">
        <f>SUM(J1034:J1037)</f>
        <v>0</v>
      </c>
      <c r="K1033" s="29"/>
      <c r="L1033" s="29"/>
      <c r="M1033" s="29"/>
      <c r="N1033" s="29"/>
      <c r="O1033" s="29"/>
      <c r="P1033" s="29"/>
      <c r="Q1033" s="29"/>
      <c r="R1033" s="29"/>
      <c r="S1033" s="29"/>
      <c r="T1033" s="29"/>
      <c r="U1033" s="29"/>
      <c r="V1033" s="29"/>
      <c r="W1033" s="29">
        <f t="shared" si="124"/>
        <v>0</v>
      </c>
      <c r="X1033" s="29"/>
      <c r="Y1033" s="29">
        <f t="shared" si="129"/>
        <v>0</v>
      </c>
    </row>
    <row r="1034" spans="1:25" ht="18" hidden="1">
      <c r="A1034" s="290"/>
      <c r="B1034" s="42"/>
      <c r="C1034" s="290"/>
      <c r="D1034" s="279"/>
      <c r="E1034" s="28"/>
      <c r="F1034" s="28"/>
      <c r="G1034" s="28"/>
      <c r="H1034" s="28"/>
      <c r="I1034" s="226"/>
      <c r="J1034" s="88"/>
      <c r="K1034" s="29"/>
      <c r="L1034" s="29"/>
      <c r="M1034" s="29"/>
      <c r="N1034" s="29"/>
      <c r="O1034" s="29"/>
      <c r="P1034" s="29"/>
      <c r="Q1034" s="29"/>
      <c r="R1034" s="29"/>
      <c r="S1034" s="29"/>
      <c r="T1034" s="29"/>
      <c r="U1034" s="29"/>
      <c r="V1034" s="29"/>
      <c r="W1034" s="29">
        <f t="shared" si="124"/>
        <v>0</v>
      </c>
      <c r="X1034" s="29"/>
      <c r="Y1034" s="29">
        <f t="shared" si="129"/>
        <v>0</v>
      </c>
    </row>
    <row r="1035" spans="1:25" ht="18" hidden="1">
      <c r="A1035" s="290"/>
      <c r="B1035" s="42"/>
      <c r="C1035" s="290"/>
      <c r="D1035" s="279"/>
      <c r="E1035" s="28"/>
      <c r="F1035" s="28"/>
      <c r="G1035" s="28"/>
      <c r="H1035" s="28"/>
      <c r="I1035" s="226"/>
      <c r="J1035" s="88"/>
      <c r="K1035" s="29"/>
      <c r="L1035" s="29"/>
      <c r="M1035" s="29"/>
      <c r="N1035" s="29"/>
      <c r="O1035" s="29"/>
      <c r="P1035" s="29"/>
      <c r="Q1035" s="29"/>
      <c r="R1035" s="29"/>
      <c r="S1035" s="29"/>
      <c r="T1035" s="29"/>
      <c r="U1035" s="29"/>
      <c r="V1035" s="29"/>
      <c r="W1035" s="29">
        <f aca="true" t="shared" si="130" ref="W1035:W1104">J1035-K1035-L1035-M1035-N1035-O1035-P1035-Q1035-R1035-S1035-T1035-U1035-V1035</f>
        <v>0</v>
      </c>
      <c r="X1035" s="29"/>
      <c r="Y1035" s="29">
        <f t="shared" si="129"/>
        <v>0</v>
      </c>
    </row>
    <row r="1036" spans="1:25" ht="18" hidden="1">
      <c r="A1036" s="290"/>
      <c r="B1036" s="42"/>
      <c r="C1036" s="290"/>
      <c r="D1036" s="279"/>
      <c r="E1036" s="28"/>
      <c r="F1036" s="28"/>
      <c r="G1036" s="28"/>
      <c r="H1036" s="28"/>
      <c r="I1036" s="226"/>
      <c r="J1036" s="88"/>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297"/>
      <c r="B1037" s="56"/>
      <c r="C1037" s="297"/>
      <c r="D1037" s="292"/>
      <c r="E1037" s="28"/>
      <c r="F1037" s="28"/>
      <c r="G1037" s="28"/>
      <c r="H1037" s="28"/>
      <c r="I1037" s="226"/>
      <c r="J1037" s="89"/>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289" t="s">
        <v>135</v>
      </c>
      <c r="B1038" s="41"/>
      <c r="C1038" s="289" t="s">
        <v>134</v>
      </c>
      <c r="D1038" s="278" t="s">
        <v>136</v>
      </c>
      <c r="E1038" s="65"/>
      <c r="F1038" s="65"/>
      <c r="G1038" s="65"/>
      <c r="H1038" s="65"/>
      <c r="I1038" s="256"/>
      <c r="J1038" s="87">
        <f>SUM(J1039:J1041)</f>
        <v>0</v>
      </c>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290"/>
      <c r="B1039" s="42"/>
      <c r="C1039" s="290"/>
      <c r="D1039" s="279"/>
      <c r="E1039" s="28"/>
      <c r="F1039" s="28"/>
      <c r="G1039" s="28"/>
      <c r="H1039" s="28"/>
      <c r="I1039" s="226"/>
      <c r="J1039" s="88"/>
      <c r="K1039" s="29"/>
      <c r="L1039" s="29"/>
      <c r="M1039" s="29"/>
      <c r="N1039" s="29"/>
      <c r="O1039" s="29"/>
      <c r="P1039" s="29"/>
      <c r="Q1039" s="29"/>
      <c r="R1039" s="29"/>
      <c r="S1039" s="29"/>
      <c r="T1039" s="29"/>
      <c r="U1039" s="29"/>
      <c r="V1039" s="29"/>
      <c r="W1039" s="29">
        <f t="shared" si="130"/>
        <v>0</v>
      </c>
      <c r="X1039" s="29"/>
      <c r="Y1039" s="29">
        <f t="shared" si="129"/>
        <v>0</v>
      </c>
    </row>
    <row r="1040" spans="1:25" ht="18" hidden="1">
      <c r="A1040" s="290"/>
      <c r="B1040" s="42"/>
      <c r="C1040" s="290"/>
      <c r="D1040" s="279"/>
      <c r="E1040" s="28"/>
      <c r="F1040" s="28"/>
      <c r="G1040" s="28"/>
      <c r="H1040" s="28"/>
      <c r="I1040" s="226"/>
      <c r="J1040" s="88"/>
      <c r="K1040" s="29"/>
      <c r="L1040" s="29"/>
      <c r="M1040" s="29"/>
      <c r="N1040" s="29"/>
      <c r="O1040" s="29"/>
      <c r="P1040" s="29"/>
      <c r="Q1040" s="29"/>
      <c r="R1040" s="29"/>
      <c r="S1040" s="29"/>
      <c r="T1040" s="29"/>
      <c r="U1040" s="29"/>
      <c r="V1040" s="29"/>
      <c r="W1040" s="29">
        <f t="shared" si="130"/>
        <v>0</v>
      </c>
      <c r="X1040" s="29"/>
      <c r="Y1040" s="29">
        <f t="shared" si="129"/>
        <v>0</v>
      </c>
    </row>
    <row r="1041" spans="1:25" ht="18" hidden="1">
      <c r="A1041" s="297"/>
      <c r="B1041" s="56"/>
      <c r="C1041" s="297"/>
      <c r="D1041" s="292"/>
      <c r="E1041" s="28"/>
      <c r="F1041" s="28"/>
      <c r="G1041" s="28"/>
      <c r="H1041" s="28"/>
      <c r="I1041" s="226"/>
      <c r="J1041" s="89"/>
      <c r="K1041" s="29"/>
      <c r="L1041" s="29"/>
      <c r="M1041" s="29"/>
      <c r="N1041" s="29"/>
      <c r="O1041" s="29"/>
      <c r="P1041" s="29"/>
      <c r="Q1041" s="29"/>
      <c r="R1041" s="29"/>
      <c r="S1041" s="29"/>
      <c r="T1041" s="29"/>
      <c r="U1041" s="29"/>
      <c r="V1041" s="29"/>
      <c r="W1041" s="29">
        <f t="shared" si="130"/>
        <v>0</v>
      </c>
      <c r="X1041" s="29"/>
      <c r="Y1041" s="29">
        <f t="shared" si="129"/>
        <v>0</v>
      </c>
    </row>
    <row r="1042" spans="1:25" ht="18.75">
      <c r="A1042" s="289" t="s">
        <v>759</v>
      </c>
      <c r="B1042" s="289" t="s">
        <v>760</v>
      </c>
      <c r="C1042" s="289" t="s">
        <v>280</v>
      </c>
      <c r="D1042" s="278" t="s">
        <v>1156</v>
      </c>
      <c r="E1042" s="65"/>
      <c r="F1042" s="65"/>
      <c r="G1042" s="65"/>
      <c r="H1042" s="65"/>
      <c r="I1042" s="256"/>
      <c r="J1042" s="31">
        <f>SUM(J1043:J1060)</f>
        <v>30342941</v>
      </c>
      <c r="K1042" s="31">
        <f aca="true" t="shared" si="131" ref="K1042:X1042">SUM(K1043:K1060)</f>
        <v>0</v>
      </c>
      <c r="L1042" s="31">
        <f t="shared" si="131"/>
        <v>235800</v>
      </c>
      <c r="M1042" s="31">
        <f t="shared" si="131"/>
        <v>585000</v>
      </c>
      <c r="N1042" s="31">
        <f t="shared" si="131"/>
        <v>4944470</v>
      </c>
      <c r="O1042" s="31">
        <f t="shared" si="131"/>
        <v>-1363000</v>
      </c>
      <c r="P1042" s="31">
        <f t="shared" si="131"/>
        <v>-219244</v>
      </c>
      <c r="Q1042" s="31">
        <f t="shared" si="131"/>
        <v>5975000</v>
      </c>
      <c r="R1042" s="31">
        <f t="shared" si="131"/>
        <v>928315</v>
      </c>
      <c r="S1042" s="31">
        <f t="shared" si="131"/>
        <v>54765</v>
      </c>
      <c r="T1042" s="31">
        <f t="shared" si="131"/>
        <v>4620000</v>
      </c>
      <c r="U1042" s="31">
        <f t="shared" si="131"/>
        <v>6207835</v>
      </c>
      <c r="V1042" s="31">
        <f t="shared" si="131"/>
        <v>8374000</v>
      </c>
      <c r="W1042" s="31">
        <f t="shared" si="131"/>
        <v>0</v>
      </c>
      <c r="X1042" s="31">
        <f t="shared" si="131"/>
        <v>1757800.62</v>
      </c>
      <c r="Y1042" s="29">
        <f t="shared" si="129"/>
        <v>9328540.379999999</v>
      </c>
    </row>
    <row r="1043" spans="1:25" ht="150">
      <c r="A1043" s="290"/>
      <c r="B1043" s="290"/>
      <c r="C1043" s="290"/>
      <c r="D1043" s="279"/>
      <c r="E1043" s="192" t="s">
        <v>549</v>
      </c>
      <c r="F1043" s="209">
        <f>J1043</f>
        <v>235800</v>
      </c>
      <c r="G1043" s="210">
        <v>1</v>
      </c>
      <c r="H1043" s="209">
        <f aca="true" t="shared" si="132" ref="H1043:H1104">J1043</f>
        <v>235800</v>
      </c>
      <c r="I1043" s="247">
        <v>3210</v>
      </c>
      <c r="J1043" s="207">
        <v>235800</v>
      </c>
      <c r="K1043" s="180"/>
      <c r="L1043" s="180">
        <v>235800</v>
      </c>
      <c r="M1043" s="180"/>
      <c r="N1043" s="180"/>
      <c r="O1043" s="180"/>
      <c r="P1043" s="180"/>
      <c r="Q1043" s="180"/>
      <c r="R1043" s="180"/>
      <c r="S1043" s="180"/>
      <c r="T1043" s="180"/>
      <c r="U1043" s="180"/>
      <c r="V1043" s="180"/>
      <c r="W1043" s="29">
        <f t="shared" si="130"/>
        <v>0</v>
      </c>
      <c r="X1043" s="29"/>
      <c r="Y1043" s="29">
        <f t="shared" si="129"/>
        <v>235800</v>
      </c>
    </row>
    <row r="1044" spans="1:25" ht="93.75">
      <c r="A1044" s="290"/>
      <c r="B1044" s="290"/>
      <c r="C1044" s="290"/>
      <c r="D1044" s="279"/>
      <c r="E1044" s="28" t="s">
        <v>550</v>
      </c>
      <c r="F1044" s="135">
        <f>J1044</f>
        <v>1943000</v>
      </c>
      <c r="G1044" s="134">
        <v>1</v>
      </c>
      <c r="H1044" s="135">
        <f t="shared" si="132"/>
        <v>1943000</v>
      </c>
      <c r="I1044" s="234">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30"/>
        <v>0</v>
      </c>
      <c r="X1044" s="29">
        <f>9789.6</f>
        <v>9789.6</v>
      </c>
      <c r="Y1044" s="29">
        <f t="shared" si="129"/>
        <v>1813210.4</v>
      </c>
    </row>
    <row r="1045" spans="1:25" ht="56.25">
      <c r="A1045" s="290"/>
      <c r="B1045" s="290"/>
      <c r="C1045" s="290"/>
      <c r="D1045" s="279"/>
      <c r="E1045" s="28" t="s">
        <v>932</v>
      </c>
      <c r="F1045" s="135">
        <f aca="true" t="shared" si="133" ref="F1045:F1060">J1045</f>
        <v>300000</v>
      </c>
      <c r="G1045" s="134">
        <v>1</v>
      </c>
      <c r="H1045" s="135">
        <f t="shared" si="132"/>
        <v>300000</v>
      </c>
      <c r="I1045" s="234">
        <v>3142</v>
      </c>
      <c r="J1045" s="47">
        <v>300000</v>
      </c>
      <c r="K1045" s="29"/>
      <c r="L1045" s="29"/>
      <c r="M1045" s="29"/>
      <c r="N1045" s="29">
        <v>300000</v>
      </c>
      <c r="O1045" s="29"/>
      <c r="P1045" s="29"/>
      <c r="Q1045" s="29"/>
      <c r="R1045" s="29"/>
      <c r="S1045" s="29"/>
      <c r="T1045" s="29"/>
      <c r="U1045" s="29"/>
      <c r="V1045" s="29"/>
      <c r="W1045" s="29">
        <f t="shared" si="130"/>
        <v>0</v>
      </c>
      <c r="X1045" s="29">
        <f>251195.7</f>
        <v>251195.7</v>
      </c>
      <c r="Y1045" s="29">
        <f t="shared" si="129"/>
        <v>48804.29999999999</v>
      </c>
    </row>
    <row r="1046" spans="1:25" ht="108" customHeight="1">
      <c r="A1046" s="290"/>
      <c r="B1046" s="290"/>
      <c r="C1046" s="290"/>
      <c r="D1046" s="279"/>
      <c r="E1046" s="318" t="s">
        <v>664</v>
      </c>
      <c r="F1046" s="135">
        <f t="shared" si="133"/>
        <v>1006835</v>
      </c>
      <c r="G1046" s="134">
        <v>1</v>
      </c>
      <c r="H1046" s="135">
        <f t="shared" si="132"/>
        <v>1006835</v>
      </c>
      <c r="I1046" s="320">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30"/>
        <v>0</v>
      </c>
      <c r="X1046" s="29">
        <f>233763.06+3567.6+174374.72</f>
        <v>411705.38</v>
      </c>
      <c r="Y1046" s="29">
        <f t="shared" si="129"/>
        <v>495129.62</v>
      </c>
    </row>
    <row r="1047" spans="1:25" ht="18.75">
      <c r="A1047" s="290"/>
      <c r="B1047" s="290"/>
      <c r="C1047" s="290"/>
      <c r="D1047" s="279"/>
      <c r="E1047" s="319"/>
      <c r="F1047" s="135"/>
      <c r="G1047" s="134"/>
      <c r="H1047" s="135"/>
      <c r="I1047" s="321"/>
      <c r="J1047" s="47">
        <v>624756</v>
      </c>
      <c r="K1047" s="29"/>
      <c r="L1047" s="29"/>
      <c r="M1047" s="29"/>
      <c r="N1047" s="29"/>
      <c r="O1047" s="29"/>
      <c r="P1047" s="29">
        <v>624756</v>
      </c>
      <c r="Q1047" s="29"/>
      <c r="R1047" s="29"/>
      <c r="S1047" s="29"/>
      <c r="T1047" s="29"/>
      <c r="U1047" s="29"/>
      <c r="V1047" s="29"/>
      <c r="W1047" s="29"/>
      <c r="X1047" s="29">
        <v>624756</v>
      </c>
      <c r="Y1047" s="29">
        <f t="shared" si="129"/>
        <v>0</v>
      </c>
    </row>
    <row r="1048" spans="1:25" ht="56.25">
      <c r="A1048" s="290"/>
      <c r="B1048" s="290"/>
      <c r="C1048" s="290"/>
      <c r="D1048" s="279"/>
      <c r="E1048" s="28" t="s">
        <v>442</v>
      </c>
      <c r="F1048" s="135">
        <f t="shared" si="133"/>
        <v>100000</v>
      </c>
      <c r="G1048" s="134">
        <v>1</v>
      </c>
      <c r="H1048" s="135">
        <f t="shared" si="132"/>
        <v>100000</v>
      </c>
      <c r="I1048" s="234">
        <v>3142</v>
      </c>
      <c r="J1048" s="47">
        <v>100000</v>
      </c>
      <c r="K1048" s="29"/>
      <c r="L1048" s="29"/>
      <c r="M1048" s="29"/>
      <c r="N1048" s="29"/>
      <c r="O1048" s="29"/>
      <c r="P1048" s="29"/>
      <c r="Q1048" s="29"/>
      <c r="R1048" s="29"/>
      <c r="S1048" s="29"/>
      <c r="T1048" s="29"/>
      <c r="U1048" s="29"/>
      <c r="V1048" s="29">
        <v>100000</v>
      </c>
      <c r="W1048" s="29">
        <f t="shared" si="130"/>
        <v>0</v>
      </c>
      <c r="X1048" s="29"/>
      <c r="Y1048" s="29">
        <f t="shared" si="129"/>
        <v>0</v>
      </c>
    </row>
    <row r="1049" spans="1:25" ht="75">
      <c r="A1049" s="290"/>
      <c r="B1049" s="290"/>
      <c r="C1049" s="290"/>
      <c r="D1049" s="279"/>
      <c r="E1049" s="28" t="s">
        <v>933</v>
      </c>
      <c r="F1049" s="135">
        <f t="shared" si="133"/>
        <v>2000000</v>
      </c>
      <c r="G1049" s="134">
        <v>1</v>
      </c>
      <c r="H1049" s="135">
        <f t="shared" si="132"/>
        <v>2000000</v>
      </c>
      <c r="I1049" s="234">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30"/>
        <v>0</v>
      </c>
      <c r="X1049" s="29"/>
      <c r="Y1049" s="29">
        <f t="shared" si="129"/>
        <v>500000</v>
      </c>
    </row>
    <row r="1050" spans="1:25" ht="56.25">
      <c r="A1050" s="290"/>
      <c r="B1050" s="290"/>
      <c r="C1050" s="290"/>
      <c r="D1050" s="279"/>
      <c r="E1050" s="28" t="s">
        <v>934</v>
      </c>
      <c r="F1050" s="135">
        <f t="shared" si="133"/>
        <v>100000</v>
      </c>
      <c r="G1050" s="134">
        <v>1</v>
      </c>
      <c r="H1050" s="135">
        <f t="shared" si="132"/>
        <v>100000</v>
      </c>
      <c r="I1050" s="234">
        <v>3142</v>
      </c>
      <c r="J1050" s="47">
        <v>100000</v>
      </c>
      <c r="K1050" s="29"/>
      <c r="L1050" s="29"/>
      <c r="M1050" s="29"/>
      <c r="N1050" s="29"/>
      <c r="O1050" s="29"/>
      <c r="P1050" s="29"/>
      <c r="Q1050" s="29"/>
      <c r="R1050" s="29"/>
      <c r="S1050" s="29"/>
      <c r="T1050" s="29">
        <v>100000</v>
      </c>
      <c r="U1050" s="29"/>
      <c r="V1050" s="29"/>
      <c r="W1050" s="29">
        <f t="shared" si="130"/>
        <v>0</v>
      </c>
      <c r="X1050" s="29"/>
      <c r="Y1050" s="29">
        <f t="shared" si="129"/>
        <v>0</v>
      </c>
    </row>
    <row r="1051" spans="1:25" ht="59.25" customHeight="1">
      <c r="A1051" s="290"/>
      <c r="B1051" s="290"/>
      <c r="C1051" s="290"/>
      <c r="D1051" s="279"/>
      <c r="E1051" s="28" t="s">
        <v>443</v>
      </c>
      <c r="F1051" s="135">
        <f t="shared" si="133"/>
        <v>1050000</v>
      </c>
      <c r="G1051" s="134">
        <v>1</v>
      </c>
      <c r="H1051" s="135">
        <f t="shared" si="132"/>
        <v>1050000</v>
      </c>
      <c r="I1051" s="234">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30"/>
        <v>0</v>
      </c>
      <c r="X1051" s="29">
        <f>1152</f>
        <v>1152</v>
      </c>
      <c r="Y1051" s="29">
        <f t="shared" si="129"/>
        <v>398848</v>
      </c>
    </row>
    <row r="1052" spans="1:25" ht="75">
      <c r="A1052" s="290"/>
      <c r="B1052" s="290"/>
      <c r="C1052" s="290"/>
      <c r="D1052" s="279"/>
      <c r="E1052" s="28" t="s">
        <v>444</v>
      </c>
      <c r="F1052" s="135">
        <f t="shared" si="133"/>
        <v>952000</v>
      </c>
      <c r="G1052" s="134">
        <v>1</v>
      </c>
      <c r="H1052" s="135">
        <f t="shared" si="132"/>
        <v>952000</v>
      </c>
      <c r="I1052" s="234">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30"/>
        <v>0</v>
      </c>
      <c r="X1052" s="29"/>
      <c r="Y1052" s="29">
        <f t="shared" si="129"/>
        <v>845165</v>
      </c>
    </row>
    <row r="1053" spans="1:25" ht="102.75" customHeight="1">
      <c r="A1053" s="290"/>
      <c r="B1053" s="290"/>
      <c r="C1053" s="290"/>
      <c r="D1053" s="279"/>
      <c r="E1053" s="28" t="s">
        <v>936</v>
      </c>
      <c r="F1053" s="135">
        <f t="shared" si="133"/>
        <v>1300000</v>
      </c>
      <c r="G1053" s="134">
        <v>1</v>
      </c>
      <c r="H1053" s="135">
        <f t="shared" si="132"/>
        <v>1300000</v>
      </c>
      <c r="I1053" s="234">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30"/>
        <v>0</v>
      </c>
      <c r="X1053" s="29"/>
      <c r="Y1053" s="29">
        <f t="shared" si="129"/>
        <v>625000</v>
      </c>
    </row>
    <row r="1054" spans="1:25" ht="37.5">
      <c r="A1054" s="290"/>
      <c r="B1054" s="290"/>
      <c r="C1054" s="290"/>
      <c r="D1054" s="279"/>
      <c r="E1054" s="36" t="s">
        <v>454</v>
      </c>
      <c r="F1054" s="135">
        <f t="shared" si="133"/>
        <v>17750000</v>
      </c>
      <c r="G1054" s="134">
        <v>1</v>
      </c>
      <c r="H1054" s="135">
        <f t="shared" si="132"/>
        <v>17750000</v>
      </c>
      <c r="I1054" s="234">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30"/>
        <v>0</v>
      </c>
      <c r="X1054" s="29">
        <f>185850.94+98235+30372+8208</f>
        <v>322665.94</v>
      </c>
      <c r="Y1054" s="29">
        <f t="shared" si="129"/>
        <v>2432334.06</v>
      </c>
    </row>
    <row r="1055" spans="1:25" ht="81.75" customHeight="1">
      <c r="A1055" s="290"/>
      <c r="B1055" s="290"/>
      <c r="C1055" s="290"/>
      <c r="D1055" s="279"/>
      <c r="E1055" s="36" t="s">
        <v>332</v>
      </c>
      <c r="F1055" s="135">
        <f t="shared" si="133"/>
        <v>550000</v>
      </c>
      <c r="G1055" s="134">
        <v>1</v>
      </c>
      <c r="H1055" s="135">
        <f t="shared" si="132"/>
        <v>550000</v>
      </c>
      <c r="I1055" s="234">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30"/>
        <v>0</v>
      </c>
      <c r="X1055" s="29"/>
      <c r="Y1055" s="29">
        <f t="shared" si="129"/>
        <v>550000</v>
      </c>
    </row>
    <row r="1056" spans="1:25" ht="56.25">
      <c r="A1056" s="290"/>
      <c r="B1056" s="290"/>
      <c r="C1056" s="290"/>
      <c r="D1056" s="279"/>
      <c r="E1056" s="36" t="s">
        <v>1057</v>
      </c>
      <c r="F1056" s="135">
        <f t="shared" si="133"/>
        <v>500000</v>
      </c>
      <c r="G1056" s="134">
        <v>1</v>
      </c>
      <c r="H1056" s="135">
        <f t="shared" si="132"/>
        <v>500000</v>
      </c>
      <c r="I1056" s="234">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30"/>
        <v>0</v>
      </c>
      <c r="X1056" s="29"/>
      <c r="Y1056" s="29">
        <f t="shared" si="129"/>
        <v>235235</v>
      </c>
    </row>
    <row r="1057" spans="1:25" ht="73.5" customHeight="1">
      <c r="A1057" s="290"/>
      <c r="B1057" s="290"/>
      <c r="C1057" s="290"/>
      <c r="D1057" s="279"/>
      <c r="E1057" s="36" t="s">
        <v>286</v>
      </c>
      <c r="F1057" s="135">
        <f t="shared" si="133"/>
        <v>700000</v>
      </c>
      <c r="G1057" s="134">
        <v>1</v>
      </c>
      <c r="H1057" s="135">
        <f t="shared" si="132"/>
        <v>700000</v>
      </c>
      <c r="I1057" s="234">
        <v>3210</v>
      </c>
      <c r="J1057" s="40">
        <v>700000</v>
      </c>
      <c r="K1057" s="29"/>
      <c r="L1057" s="29"/>
      <c r="M1057" s="29"/>
      <c r="N1057" s="29">
        <v>245000</v>
      </c>
      <c r="O1057" s="29">
        <v>210000</v>
      </c>
      <c r="P1057" s="29">
        <v>-400000</v>
      </c>
      <c r="Q1057" s="29"/>
      <c r="R1057" s="29">
        <v>400000</v>
      </c>
      <c r="S1057" s="29"/>
      <c r="T1057" s="29">
        <v>245000</v>
      </c>
      <c r="U1057" s="29"/>
      <c r="V1057" s="29"/>
      <c r="W1057" s="29">
        <f t="shared" si="130"/>
        <v>0</v>
      </c>
      <c r="X1057" s="29"/>
      <c r="Y1057" s="29">
        <f t="shared" si="129"/>
        <v>455000</v>
      </c>
    </row>
    <row r="1058" spans="1:25" ht="56.25">
      <c r="A1058" s="290"/>
      <c r="B1058" s="290"/>
      <c r="C1058" s="290"/>
      <c r="D1058" s="279"/>
      <c r="E1058" s="36" t="s">
        <v>102</v>
      </c>
      <c r="F1058" s="135">
        <f t="shared" si="133"/>
        <v>1000000</v>
      </c>
      <c r="G1058" s="134">
        <v>1</v>
      </c>
      <c r="H1058" s="135">
        <f t="shared" si="132"/>
        <v>1000000</v>
      </c>
      <c r="I1058" s="234">
        <v>3122</v>
      </c>
      <c r="J1058" s="40">
        <v>1000000</v>
      </c>
      <c r="K1058" s="29"/>
      <c r="L1058" s="29"/>
      <c r="M1058" s="146"/>
      <c r="N1058" s="29">
        <v>700000</v>
      </c>
      <c r="O1058" s="29"/>
      <c r="P1058" s="29">
        <v>-400000</v>
      </c>
      <c r="Q1058" s="29">
        <v>400000</v>
      </c>
      <c r="R1058" s="29"/>
      <c r="S1058" s="29"/>
      <c r="T1058" s="29"/>
      <c r="U1058" s="29">
        <v>200000</v>
      </c>
      <c r="V1058" s="29">
        <v>100000</v>
      </c>
      <c r="W1058" s="29">
        <f t="shared" si="130"/>
        <v>0</v>
      </c>
      <c r="X1058" s="29">
        <f>100000+36536</f>
        <v>136536</v>
      </c>
      <c r="Y1058" s="29">
        <f t="shared" si="129"/>
        <v>563464</v>
      </c>
    </row>
    <row r="1059" spans="1:25" ht="56.25">
      <c r="A1059" s="290"/>
      <c r="B1059" s="290"/>
      <c r="C1059" s="290"/>
      <c r="D1059" s="279"/>
      <c r="E1059" s="36" t="s">
        <v>937</v>
      </c>
      <c r="F1059" s="135">
        <f t="shared" si="133"/>
        <v>100550</v>
      </c>
      <c r="G1059" s="134">
        <v>1</v>
      </c>
      <c r="H1059" s="135">
        <f t="shared" si="132"/>
        <v>100550</v>
      </c>
      <c r="I1059" s="234">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30"/>
        <v>0</v>
      </c>
      <c r="X1059" s="29"/>
      <c r="Y1059" s="29">
        <f t="shared" si="129"/>
        <v>550</v>
      </c>
    </row>
    <row r="1060" spans="1:25" ht="56.25">
      <c r="A1060" s="290"/>
      <c r="B1060" s="297"/>
      <c r="C1060" s="290"/>
      <c r="D1060" s="279"/>
      <c r="E1060" s="36" t="s">
        <v>1023</v>
      </c>
      <c r="F1060" s="135">
        <f t="shared" si="133"/>
        <v>130000</v>
      </c>
      <c r="G1060" s="134">
        <v>1</v>
      </c>
      <c r="H1060" s="135">
        <f t="shared" si="132"/>
        <v>130000</v>
      </c>
      <c r="I1060" s="234">
        <v>3210</v>
      </c>
      <c r="J1060" s="40">
        <f>968800-768800-70000</f>
        <v>130000</v>
      </c>
      <c r="K1060" s="29"/>
      <c r="L1060" s="29"/>
      <c r="M1060" s="29"/>
      <c r="N1060" s="29">
        <v>140000</v>
      </c>
      <c r="O1060" s="29">
        <v>60000</v>
      </c>
      <c r="P1060" s="29"/>
      <c r="Q1060" s="29">
        <v>-70000</v>
      </c>
      <c r="R1060" s="29"/>
      <c r="S1060" s="29"/>
      <c r="T1060" s="29"/>
      <c r="U1060" s="29"/>
      <c r="V1060" s="29"/>
      <c r="W1060" s="29">
        <f t="shared" si="130"/>
        <v>0</v>
      </c>
      <c r="X1060" s="29"/>
      <c r="Y1060" s="29">
        <f t="shared" si="129"/>
        <v>130000</v>
      </c>
    </row>
    <row r="1061" spans="1:25" ht="18" customHeight="1">
      <c r="A1061" s="289" t="s">
        <v>1091</v>
      </c>
      <c r="B1061" s="289" t="s">
        <v>50</v>
      </c>
      <c r="C1061" s="289" t="s">
        <v>820</v>
      </c>
      <c r="D1061" s="278" t="s">
        <v>49</v>
      </c>
      <c r="E1061" s="65"/>
      <c r="F1061" s="65"/>
      <c r="G1061" s="65"/>
      <c r="H1061" s="65"/>
      <c r="I1061" s="256"/>
      <c r="J1061" s="31">
        <f>SUM(J1062:J1063)</f>
        <v>1180000</v>
      </c>
      <c r="K1061" s="31">
        <f aca="true" t="shared" si="134" ref="K1061:X1061">SUM(K1062:K1063)</f>
        <v>0</v>
      </c>
      <c r="L1061" s="31">
        <f t="shared" si="134"/>
        <v>0</v>
      </c>
      <c r="M1061" s="31">
        <f t="shared" si="134"/>
        <v>0</v>
      </c>
      <c r="N1061" s="31">
        <f t="shared" si="134"/>
        <v>556000</v>
      </c>
      <c r="O1061" s="31">
        <f t="shared" si="134"/>
        <v>0</v>
      </c>
      <c r="P1061" s="31">
        <f t="shared" si="134"/>
        <v>0</v>
      </c>
      <c r="Q1061" s="31">
        <f t="shared" si="134"/>
        <v>12000</v>
      </c>
      <c r="R1061" s="31">
        <f t="shared" si="134"/>
        <v>24000</v>
      </c>
      <c r="S1061" s="31">
        <f t="shared" si="134"/>
        <v>0</v>
      </c>
      <c r="T1061" s="31">
        <f t="shared" si="134"/>
        <v>0</v>
      </c>
      <c r="U1061" s="31">
        <f t="shared" si="134"/>
        <v>288000</v>
      </c>
      <c r="V1061" s="31">
        <f t="shared" si="134"/>
        <v>300000</v>
      </c>
      <c r="W1061" s="31">
        <f t="shared" si="134"/>
        <v>0</v>
      </c>
      <c r="X1061" s="31">
        <f t="shared" si="134"/>
        <v>504612</v>
      </c>
      <c r="Y1061" s="29">
        <f t="shared" si="129"/>
        <v>87388</v>
      </c>
    </row>
    <row r="1062" spans="1:25" ht="77.25" customHeight="1">
      <c r="A1062" s="290"/>
      <c r="B1062" s="290"/>
      <c r="C1062" s="290"/>
      <c r="D1062" s="279"/>
      <c r="E1062" s="36" t="s">
        <v>485</v>
      </c>
      <c r="F1062" s="135">
        <f>J1062</f>
        <v>80000</v>
      </c>
      <c r="G1062" s="134">
        <v>1</v>
      </c>
      <c r="H1062" s="135">
        <f t="shared" si="132"/>
        <v>80000</v>
      </c>
      <c r="I1062" s="234">
        <v>3210</v>
      </c>
      <c r="J1062" s="40">
        <v>80000</v>
      </c>
      <c r="K1062" s="29"/>
      <c r="L1062" s="29"/>
      <c r="M1062" s="29"/>
      <c r="N1062" s="29">
        <v>56000</v>
      </c>
      <c r="O1062" s="29"/>
      <c r="P1062" s="29"/>
      <c r="Q1062" s="29"/>
      <c r="R1062" s="29">
        <v>24000</v>
      </c>
      <c r="S1062" s="29"/>
      <c r="T1062" s="29"/>
      <c r="U1062" s="29"/>
      <c r="V1062" s="29"/>
      <c r="W1062" s="29">
        <f t="shared" si="130"/>
        <v>0</v>
      </c>
      <c r="X1062" s="29"/>
      <c r="Y1062" s="29">
        <f t="shared" si="129"/>
        <v>80000</v>
      </c>
    </row>
    <row r="1063" spans="1:25" ht="115.5" customHeight="1">
      <c r="A1063" s="297"/>
      <c r="B1063" s="297"/>
      <c r="C1063" s="297"/>
      <c r="D1063" s="292"/>
      <c r="E1063" s="36" t="s">
        <v>486</v>
      </c>
      <c r="F1063" s="135">
        <f>J1063</f>
        <v>1100000</v>
      </c>
      <c r="G1063" s="134">
        <v>1</v>
      </c>
      <c r="H1063" s="135">
        <f t="shared" si="132"/>
        <v>1100000</v>
      </c>
      <c r="I1063" s="234">
        <v>3142</v>
      </c>
      <c r="J1063" s="40">
        <v>1100000</v>
      </c>
      <c r="K1063" s="29"/>
      <c r="L1063" s="29"/>
      <c r="M1063" s="29"/>
      <c r="N1063" s="29">
        <v>500000</v>
      </c>
      <c r="O1063" s="29"/>
      <c r="P1063" s="29"/>
      <c r="Q1063" s="29">
        <v>12000</v>
      </c>
      <c r="R1063" s="29"/>
      <c r="S1063" s="29"/>
      <c r="T1063" s="29"/>
      <c r="U1063" s="29">
        <f>300000-12000</f>
        <v>288000</v>
      </c>
      <c r="V1063" s="29">
        <v>300000</v>
      </c>
      <c r="W1063" s="29">
        <f t="shared" si="130"/>
        <v>0</v>
      </c>
      <c r="X1063" s="29">
        <f>305999.4+4583+182724+11305.6</f>
        <v>504612</v>
      </c>
      <c r="Y1063" s="29">
        <f t="shared" si="129"/>
        <v>7388</v>
      </c>
    </row>
    <row r="1064" spans="1:25" ht="18.75">
      <c r="A1064" s="289" t="s">
        <v>1094</v>
      </c>
      <c r="B1064" s="289" t="s">
        <v>1093</v>
      </c>
      <c r="C1064" s="293" t="s">
        <v>891</v>
      </c>
      <c r="D1064" s="278" t="s">
        <v>1092</v>
      </c>
      <c r="E1064" s="91"/>
      <c r="F1064" s="91"/>
      <c r="G1064" s="91"/>
      <c r="H1064" s="91"/>
      <c r="I1064" s="267"/>
      <c r="J1064" s="60">
        <f>SUM(J1065:J1065)</f>
        <v>100000</v>
      </c>
      <c r="K1064" s="60">
        <f aca="true" t="shared" si="135" ref="K1064:X1064">SUM(K1065:K1065)</f>
        <v>0</v>
      </c>
      <c r="L1064" s="60">
        <f t="shared" si="135"/>
        <v>0</v>
      </c>
      <c r="M1064" s="60">
        <f t="shared" si="135"/>
        <v>0</v>
      </c>
      <c r="N1064" s="60">
        <f t="shared" si="135"/>
        <v>100000</v>
      </c>
      <c r="O1064" s="60">
        <f t="shared" si="135"/>
        <v>0</v>
      </c>
      <c r="P1064" s="60">
        <f t="shared" si="135"/>
        <v>0</v>
      </c>
      <c r="Q1064" s="60">
        <f t="shared" si="135"/>
        <v>0</v>
      </c>
      <c r="R1064" s="60">
        <f t="shared" si="135"/>
        <v>0</v>
      </c>
      <c r="S1064" s="60">
        <f t="shared" si="135"/>
        <v>0</v>
      </c>
      <c r="T1064" s="60">
        <f t="shared" si="135"/>
        <v>0</v>
      </c>
      <c r="U1064" s="60">
        <f t="shared" si="135"/>
        <v>0</v>
      </c>
      <c r="V1064" s="60">
        <f t="shared" si="135"/>
        <v>0</v>
      </c>
      <c r="W1064" s="60">
        <f t="shared" si="135"/>
        <v>0</v>
      </c>
      <c r="X1064" s="60">
        <f t="shared" si="135"/>
        <v>0</v>
      </c>
      <c r="Y1064" s="29">
        <f t="shared" si="129"/>
        <v>100000</v>
      </c>
    </row>
    <row r="1065" spans="1:25" ht="56.25">
      <c r="A1065" s="290"/>
      <c r="B1065" s="297"/>
      <c r="C1065" s="299"/>
      <c r="D1065" s="279"/>
      <c r="E1065" s="91" t="s">
        <v>324</v>
      </c>
      <c r="F1065" s="135">
        <f>J1065</f>
        <v>100000</v>
      </c>
      <c r="G1065" s="134">
        <v>1</v>
      </c>
      <c r="H1065" s="135">
        <f t="shared" si="132"/>
        <v>100000</v>
      </c>
      <c r="I1065" s="234">
        <v>3122</v>
      </c>
      <c r="J1065" s="54">
        <v>100000</v>
      </c>
      <c r="K1065" s="29"/>
      <c r="L1065" s="29"/>
      <c r="M1065" s="29"/>
      <c r="N1065" s="29">
        <v>100000</v>
      </c>
      <c r="O1065" s="29"/>
      <c r="P1065" s="29"/>
      <c r="Q1065" s="29"/>
      <c r="R1065" s="29"/>
      <c r="S1065" s="29"/>
      <c r="T1065" s="29"/>
      <c r="U1065" s="29"/>
      <c r="V1065" s="29"/>
      <c r="W1065" s="29">
        <f t="shared" si="130"/>
        <v>0</v>
      </c>
      <c r="X1065" s="29"/>
      <c r="Y1065" s="29">
        <f t="shared" si="129"/>
        <v>100000</v>
      </c>
    </row>
    <row r="1066" spans="1:25" ht="18" customHeight="1">
      <c r="A1066" s="289" t="s">
        <v>1095</v>
      </c>
      <c r="B1066" s="289" t="s">
        <v>467</v>
      </c>
      <c r="C1066" s="289" t="s">
        <v>628</v>
      </c>
      <c r="D1066" s="278" t="s">
        <v>568</v>
      </c>
      <c r="E1066" s="65"/>
      <c r="F1066" s="65"/>
      <c r="G1066" s="65"/>
      <c r="H1066" s="65"/>
      <c r="I1066" s="256"/>
      <c r="J1066" s="31">
        <f>SUM(J1067:J1101)</f>
        <v>140702000</v>
      </c>
      <c r="K1066" s="31">
        <f aca="true" t="shared" si="136" ref="K1066:X1066">SUM(K1067:K1101)</f>
        <v>0</v>
      </c>
      <c r="L1066" s="31">
        <f t="shared" si="136"/>
        <v>1600000</v>
      </c>
      <c r="M1066" s="31">
        <f t="shared" si="136"/>
        <v>29419871.54</v>
      </c>
      <c r="N1066" s="31">
        <f t="shared" si="136"/>
        <v>15591625</v>
      </c>
      <c r="O1066" s="31">
        <f t="shared" si="136"/>
        <v>6529200</v>
      </c>
      <c r="P1066" s="31">
        <f t="shared" si="136"/>
        <v>3392528.46</v>
      </c>
      <c r="Q1066" s="31">
        <f t="shared" si="136"/>
        <v>12752595</v>
      </c>
      <c r="R1066" s="31">
        <f t="shared" si="136"/>
        <v>19079605</v>
      </c>
      <c r="S1066" s="31">
        <f t="shared" si="136"/>
        <v>10239435</v>
      </c>
      <c r="T1066" s="31">
        <f t="shared" si="136"/>
        <v>11272700</v>
      </c>
      <c r="U1066" s="31">
        <f t="shared" si="136"/>
        <v>16354240</v>
      </c>
      <c r="V1066" s="31">
        <f t="shared" si="136"/>
        <v>14470200</v>
      </c>
      <c r="W1066" s="31">
        <f t="shared" si="136"/>
        <v>-9.313225746154785E-10</v>
      </c>
      <c r="X1066" s="31">
        <f t="shared" si="136"/>
        <v>55685536.02</v>
      </c>
      <c r="Y1066" s="29">
        <f t="shared" si="129"/>
        <v>32679888.979999997</v>
      </c>
    </row>
    <row r="1067" spans="1:25" ht="93.75">
      <c r="A1067" s="290"/>
      <c r="B1067" s="290"/>
      <c r="C1067" s="290"/>
      <c r="D1067" s="279"/>
      <c r="E1067" s="65" t="s">
        <v>20</v>
      </c>
      <c r="F1067" s="65"/>
      <c r="G1067" s="272"/>
      <c r="H1067" s="65"/>
      <c r="I1067" s="256">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29"/>
        <v>5000</v>
      </c>
    </row>
    <row r="1068" spans="1:25" ht="75">
      <c r="A1068" s="290"/>
      <c r="B1068" s="290"/>
      <c r="C1068" s="290"/>
      <c r="D1068" s="279"/>
      <c r="E1068" s="65" t="s">
        <v>243</v>
      </c>
      <c r="F1068" s="135">
        <f>J1068</f>
        <v>900000</v>
      </c>
      <c r="G1068" s="134">
        <v>1</v>
      </c>
      <c r="H1068" s="135">
        <f t="shared" si="132"/>
        <v>900000</v>
      </c>
      <c r="I1068" s="234">
        <v>3132</v>
      </c>
      <c r="J1068" s="29">
        <v>900000</v>
      </c>
      <c r="K1068" s="29"/>
      <c r="L1068" s="29"/>
      <c r="M1068" s="29"/>
      <c r="N1068" s="29"/>
      <c r="O1068" s="29"/>
      <c r="P1068" s="29"/>
      <c r="Q1068" s="29"/>
      <c r="R1068" s="29">
        <v>50000</v>
      </c>
      <c r="S1068" s="29"/>
      <c r="T1068" s="29">
        <v>400000</v>
      </c>
      <c r="U1068" s="29">
        <v>450000</v>
      </c>
      <c r="V1068" s="29"/>
      <c r="W1068" s="29">
        <f t="shared" si="130"/>
        <v>0</v>
      </c>
      <c r="X1068" s="29"/>
      <c r="Y1068" s="29">
        <f t="shared" si="129"/>
        <v>50000</v>
      </c>
    </row>
    <row r="1069" spans="1:25" ht="54" hidden="1">
      <c r="A1069" s="290"/>
      <c r="B1069" s="290"/>
      <c r="C1069" s="290"/>
      <c r="D1069" s="279"/>
      <c r="E1069" s="65" t="s">
        <v>1049</v>
      </c>
      <c r="F1069" s="135"/>
      <c r="G1069" s="134"/>
      <c r="H1069" s="135"/>
      <c r="I1069" s="234">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29"/>
        <v>0</v>
      </c>
    </row>
    <row r="1070" spans="1:25" ht="56.25">
      <c r="A1070" s="290"/>
      <c r="B1070" s="290"/>
      <c r="C1070" s="290"/>
      <c r="D1070" s="279"/>
      <c r="E1070" s="65" t="s">
        <v>468</v>
      </c>
      <c r="F1070" s="135">
        <f aca="true" t="shared" si="137" ref="F1070:F1101">J1070</f>
        <v>300000</v>
      </c>
      <c r="G1070" s="134">
        <v>1</v>
      </c>
      <c r="H1070" s="135">
        <f t="shared" si="132"/>
        <v>300000</v>
      </c>
      <c r="I1070" s="234">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30"/>
        <v>0</v>
      </c>
      <c r="X1070" s="29">
        <f>200000</f>
        <v>200000</v>
      </c>
      <c r="Y1070" s="29">
        <f t="shared" si="129"/>
        <v>57000</v>
      </c>
    </row>
    <row r="1071" spans="1:25" ht="36" hidden="1">
      <c r="A1071" s="290"/>
      <c r="B1071" s="290"/>
      <c r="C1071" s="290"/>
      <c r="D1071" s="279"/>
      <c r="E1071" s="65" t="s">
        <v>587</v>
      </c>
      <c r="F1071" s="135">
        <f t="shared" si="137"/>
        <v>0</v>
      </c>
      <c r="G1071" s="134">
        <v>1</v>
      </c>
      <c r="H1071" s="135">
        <f t="shared" si="132"/>
        <v>0</v>
      </c>
      <c r="I1071" s="234">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29"/>
        <v>0</v>
      </c>
    </row>
    <row r="1072" spans="1:25" ht="75">
      <c r="A1072" s="290"/>
      <c r="B1072" s="290"/>
      <c r="C1072" s="290"/>
      <c r="D1072" s="279"/>
      <c r="E1072" s="65" t="s">
        <v>859</v>
      </c>
      <c r="F1072" s="135"/>
      <c r="G1072" s="134"/>
      <c r="H1072" s="135"/>
      <c r="I1072" s="234">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29"/>
        <v>0</v>
      </c>
    </row>
    <row r="1073" spans="1:25" ht="56.25">
      <c r="A1073" s="290"/>
      <c r="B1073" s="290"/>
      <c r="C1073" s="290"/>
      <c r="D1073" s="279"/>
      <c r="E1073" s="65" t="s">
        <v>586</v>
      </c>
      <c r="F1073" s="135">
        <f t="shared" si="137"/>
        <v>1000000</v>
      </c>
      <c r="G1073" s="134">
        <v>1</v>
      </c>
      <c r="H1073" s="135">
        <f t="shared" si="132"/>
        <v>1000000</v>
      </c>
      <c r="I1073" s="234">
        <v>3132</v>
      </c>
      <c r="J1073" s="29">
        <v>1000000</v>
      </c>
      <c r="K1073" s="29"/>
      <c r="L1073" s="29"/>
      <c r="M1073" s="29"/>
      <c r="N1073" s="29"/>
      <c r="O1073" s="29"/>
      <c r="P1073" s="29"/>
      <c r="Q1073" s="29"/>
      <c r="R1073" s="29"/>
      <c r="S1073" s="29">
        <v>500000</v>
      </c>
      <c r="T1073" s="29"/>
      <c r="U1073" s="29"/>
      <c r="V1073" s="29">
        <v>500000</v>
      </c>
      <c r="W1073" s="29">
        <f t="shared" si="130"/>
        <v>0</v>
      </c>
      <c r="X1073" s="29"/>
      <c r="Y1073" s="29">
        <f t="shared" si="129"/>
        <v>0</v>
      </c>
    </row>
    <row r="1074" spans="1:25" ht="75">
      <c r="A1074" s="290"/>
      <c r="B1074" s="290"/>
      <c r="C1074" s="290"/>
      <c r="D1074" s="279"/>
      <c r="E1074" s="65" t="s">
        <v>531</v>
      </c>
      <c r="F1074" s="135"/>
      <c r="G1074" s="134"/>
      <c r="H1074" s="135"/>
      <c r="I1074" s="234">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 t="shared" si="129"/>
        <v>0</v>
      </c>
    </row>
    <row r="1075" spans="1:25" ht="37.5">
      <c r="A1075" s="290"/>
      <c r="B1075" s="290"/>
      <c r="C1075" s="290"/>
      <c r="D1075" s="279"/>
      <c r="E1075" s="65" t="s">
        <v>588</v>
      </c>
      <c r="F1075" s="135">
        <f t="shared" si="137"/>
        <v>500000</v>
      </c>
      <c r="G1075" s="134">
        <v>1</v>
      </c>
      <c r="H1075" s="135">
        <f t="shared" si="132"/>
        <v>500000</v>
      </c>
      <c r="I1075" s="234">
        <v>3132</v>
      </c>
      <c r="J1075" s="29">
        <v>500000</v>
      </c>
      <c r="K1075" s="29"/>
      <c r="L1075" s="29"/>
      <c r="M1075" s="29"/>
      <c r="N1075" s="29"/>
      <c r="O1075" s="29">
        <v>22000</v>
      </c>
      <c r="P1075" s="29"/>
      <c r="Q1075" s="29"/>
      <c r="R1075" s="29"/>
      <c r="S1075" s="29"/>
      <c r="T1075" s="29"/>
      <c r="U1075" s="29">
        <f>250000-22000</f>
        <v>228000</v>
      </c>
      <c r="V1075" s="29">
        <v>250000</v>
      </c>
      <c r="W1075" s="29">
        <f t="shared" si="130"/>
        <v>0</v>
      </c>
      <c r="X1075" s="29">
        <v>20944</v>
      </c>
      <c r="Y1075" s="29">
        <f t="shared" si="129"/>
        <v>1056</v>
      </c>
    </row>
    <row r="1076" spans="1:25" ht="75">
      <c r="A1076" s="290"/>
      <c r="B1076" s="290"/>
      <c r="C1076" s="290"/>
      <c r="D1076" s="279"/>
      <c r="E1076" s="65" t="s">
        <v>590</v>
      </c>
      <c r="F1076" s="135">
        <f t="shared" si="137"/>
        <v>8750000</v>
      </c>
      <c r="G1076" s="134">
        <v>1</v>
      </c>
      <c r="H1076" s="135">
        <f t="shared" si="132"/>
        <v>8750000</v>
      </c>
      <c r="I1076" s="234">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30"/>
        <v>0</v>
      </c>
      <c r="X1076" s="29">
        <f>1500000+2300000+351862.03</f>
        <v>4151862.0300000003</v>
      </c>
      <c r="Y1076" s="29">
        <f t="shared" si="129"/>
        <v>4598137.97</v>
      </c>
    </row>
    <row r="1077" spans="1:25" ht="77.25" customHeight="1">
      <c r="A1077" s="290"/>
      <c r="B1077" s="290"/>
      <c r="C1077" s="290"/>
      <c r="D1077" s="279"/>
      <c r="E1077" s="65" t="s">
        <v>151</v>
      </c>
      <c r="F1077" s="135">
        <f t="shared" si="137"/>
        <v>8600000</v>
      </c>
      <c r="G1077" s="134">
        <v>1</v>
      </c>
      <c r="H1077" s="135">
        <f t="shared" si="132"/>
        <v>8600000</v>
      </c>
      <c r="I1077" s="234">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30"/>
        <v>0</v>
      </c>
      <c r="X1077" s="29">
        <f>3300000+3111386.39+40091.81-1500000+630117.4+60</f>
        <v>5581655.600000001</v>
      </c>
      <c r="Y1077" s="29">
        <f t="shared" si="129"/>
        <v>3018344.3999999994</v>
      </c>
    </row>
    <row r="1078" spans="1:25" ht="75">
      <c r="A1078" s="290"/>
      <c r="B1078" s="290"/>
      <c r="C1078" s="290"/>
      <c r="D1078" s="279"/>
      <c r="E1078" s="65" t="s">
        <v>149</v>
      </c>
      <c r="F1078" s="135">
        <f t="shared" si="137"/>
        <v>5000000</v>
      </c>
      <c r="G1078" s="134">
        <v>1</v>
      </c>
      <c r="H1078" s="135">
        <f t="shared" si="132"/>
        <v>5000000</v>
      </c>
      <c r="I1078" s="234">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30"/>
        <v>0</v>
      </c>
      <c r="X1078" s="29">
        <f>400000</f>
        <v>400000</v>
      </c>
      <c r="Y1078" s="29">
        <f t="shared" si="129"/>
        <v>300000</v>
      </c>
    </row>
    <row r="1079" spans="1:25" ht="42" customHeight="1">
      <c r="A1079" s="290"/>
      <c r="B1079" s="290"/>
      <c r="C1079" s="290"/>
      <c r="D1079" s="279"/>
      <c r="E1079" s="65" t="s">
        <v>306</v>
      </c>
      <c r="F1079" s="135">
        <f t="shared" si="137"/>
        <v>7700000</v>
      </c>
      <c r="G1079" s="134">
        <v>1</v>
      </c>
      <c r="H1079" s="135">
        <f t="shared" si="132"/>
        <v>7700000</v>
      </c>
      <c r="I1079" s="234">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30"/>
        <v>0</v>
      </c>
      <c r="X1079" s="29">
        <v>43461.4</v>
      </c>
      <c r="Y1079" s="29">
        <f t="shared" si="129"/>
        <v>106538.6</v>
      </c>
    </row>
    <row r="1080" spans="1:25" ht="56.25">
      <c r="A1080" s="290"/>
      <c r="B1080" s="290"/>
      <c r="C1080" s="290"/>
      <c r="D1080" s="279"/>
      <c r="E1080" s="65" t="s">
        <v>569</v>
      </c>
      <c r="F1080" s="135">
        <f t="shared" si="137"/>
        <v>1000000</v>
      </c>
      <c r="G1080" s="134">
        <v>1</v>
      </c>
      <c r="H1080" s="135">
        <f t="shared" si="132"/>
        <v>1000000</v>
      </c>
      <c r="I1080" s="234">
        <v>3142</v>
      </c>
      <c r="J1080" s="29">
        <v>1000000</v>
      </c>
      <c r="K1080" s="29"/>
      <c r="L1080" s="29"/>
      <c r="M1080" s="29"/>
      <c r="N1080" s="146"/>
      <c r="O1080" s="29"/>
      <c r="P1080" s="29"/>
      <c r="Q1080" s="29"/>
      <c r="R1080" s="29"/>
      <c r="S1080" s="29">
        <v>300000</v>
      </c>
      <c r="T1080" s="29"/>
      <c r="U1080" s="29">
        <v>700000</v>
      </c>
      <c r="V1080" s="29"/>
      <c r="W1080" s="29">
        <f t="shared" si="130"/>
        <v>0</v>
      </c>
      <c r="X1080" s="29"/>
      <c r="Y1080" s="29">
        <f t="shared" si="129"/>
        <v>0</v>
      </c>
    </row>
    <row r="1081" spans="1:25" ht="43.5" customHeight="1">
      <c r="A1081" s="290"/>
      <c r="B1081" s="290"/>
      <c r="C1081" s="290"/>
      <c r="D1081" s="279"/>
      <c r="E1081" s="65" t="s">
        <v>219</v>
      </c>
      <c r="F1081" s="135">
        <f t="shared" si="137"/>
        <v>500000</v>
      </c>
      <c r="G1081" s="134">
        <v>1</v>
      </c>
      <c r="H1081" s="135">
        <f t="shared" si="132"/>
        <v>500000</v>
      </c>
      <c r="I1081" s="234">
        <v>3142</v>
      </c>
      <c r="J1081" s="29">
        <v>500000</v>
      </c>
      <c r="K1081" s="29"/>
      <c r="L1081" s="29"/>
      <c r="M1081" s="29"/>
      <c r="N1081" s="29"/>
      <c r="O1081" s="29"/>
      <c r="P1081" s="29"/>
      <c r="Q1081" s="29"/>
      <c r="R1081" s="29"/>
      <c r="S1081" s="29">
        <v>250000</v>
      </c>
      <c r="T1081" s="29"/>
      <c r="U1081" s="29">
        <v>250000</v>
      </c>
      <c r="V1081" s="29"/>
      <c r="W1081" s="29">
        <f t="shared" si="130"/>
        <v>0</v>
      </c>
      <c r="X1081" s="29"/>
      <c r="Y1081" s="29">
        <f t="shared" si="129"/>
        <v>0</v>
      </c>
    </row>
    <row r="1082" spans="1:25" ht="42" customHeight="1">
      <c r="A1082" s="290"/>
      <c r="B1082" s="290"/>
      <c r="C1082" s="290"/>
      <c r="D1082" s="279"/>
      <c r="E1082" s="65" t="s">
        <v>220</v>
      </c>
      <c r="F1082" s="135">
        <f t="shared" si="137"/>
        <v>5000000</v>
      </c>
      <c r="G1082" s="134">
        <v>1</v>
      </c>
      <c r="H1082" s="135">
        <f t="shared" si="132"/>
        <v>5000000</v>
      </c>
      <c r="I1082" s="234">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30"/>
        <v>0</v>
      </c>
      <c r="X1082" s="29">
        <f>1460000+1581342.49</f>
        <v>3041342.49</v>
      </c>
      <c r="Y1082" s="29">
        <f t="shared" si="129"/>
        <v>974782.5099999998</v>
      </c>
    </row>
    <row r="1083" spans="1:25" ht="37.5">
      <c r="A1083" s="290"/>
      <c r="B1083" s="290"/>
      <c r="C1083" s="290"/>
      <c r="D1083" s="279"/>
      <c r="E1083" s="65" t="s">
        <v>150</v>
      </c>
      <c r="F1083" s="135">
        <f t="shared" si="137"/>
        <v>500000</v>
      </c>
      <c r="G1083" s="134">
        <v>1</v>
      </c>
      <c r="H1083" s="135">
        <f t="shared" si="132"/>
        <v>500000</v>
      </c>
      <c r="I1083" s="234">
        <v>3142</v>
      </c>
      <c r="J1083" s="29">
        <v>500000</v>
      </c>
      <c r="K1083" s="29"/>
      <c r="L1083" s="29"/>
      <c r="M1083" s="29">
        <v>14500</v>
      </c>
      <c r="N1083" s="29"/>
      <c r="O1083" s="29"/>
      <c r="P1083" s="29"/>
      <c r="Q1083" s="29"/>
      <c r="R1083" s="29">
        <f>500000-14500</f>
        <v>485500</v>
      </c>
      <c r="S1083" s="29"/>
      <c r="T1083" s="29"/>
      <c r="U1083" s="29"/>
      <c r="V1083" s="29"/>
      <c r="W1083" s="29">
        <f t="shared" si="130"/>
        <v>0</v>
      </c>
      <c r="X1083" s="29">
        <v>14391.08</v>
      </c>
      <c r="Y1083" s="29">
        <f t="shared" si="129"/>
        <v>485608.92</v>
      </c>
    </row>
    <row r="1084" spans="1:25" ht="44.25" customHeight="1">
      <c r="A1084" s="290"/>
      <c r="B1084" s="290"/>
      <c r="C1084" s="290"/>
      <c r="D1084" s="279"/>
      <c r="E1084" s="65" t="s">
        <v>471</v>
      </c>
      <c r="F1084" s="135">
        <f t="shared" si="137"/>
        <v>1000000</v>
      </c>
      <c r="G1084" s="134">
        <v>1</v>
      </c>
      <c r="H1084" s="135">
        <f t="shared" si="132"/>
        <v>1000000</v>
      </c>
      <c r="I1084" s="234">
        <v>3142</v>
      </c>
      <c r="J1084" s="29">
        <v>1000000</v>
      </c>
      <c r="K1084" s="29"/>
      <c r="L1084" s="29"/>
      <c r="M1084" s="29"/>
      <c r="N1084" s="29"/>
      <c r="O1084" s="29">
        <v>500000</v>
      </c>
      <c r="P1084" s="29">
        <v>-500000</v>
      </c>
      <c r="Q1084" s="29">
        <v>500000</v>
      </c>
      <c r="R1084" s="29">
        <v>500000</v>
      </c>
      <c r="S1084" s="29"/>
      <c r="T1084" s="29"/>
      <c r="U1084" s="29"/>
      <c r="V1084" s="29"/>
      <c r="W1084" s="29">
        <f t="shared" si="130"/>
        <v>0</v>
      </c>
      <c r="X1084" s="29"/>
      <c r="Y1084" s="29">
        <f t="shared" si="129"/>
        <v>1000000</v>
      </c>
    </row>
    <row r="1085" spans="1:25" ht="63" customHeight="1">
      <c r="A1085" s="290"/>
      <c r="B1085" s="290"/>
      <c r="C1085" s="290"/>
      <c r="D1085" s="279"/>
      <c r="E1085" s="65" t="s">
        <v>589</v>
      </c>
      <c r="F1085" s="135">
        <f t="shared" si="137"/>
        <v>1310000</v>
      </c>
      <c r="G1085" s="134">
        <v>1</v>
      </c>
      <c r="H1085" s="135">
        <f t="shared" si="132"/>
        <v>1310000</v>
      </c>
      <c r="I1085" s="234">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30"/>
        <v>0</v>
      </c>
      <c r="X1085" s="29"/>
      <c r="Y1085" s="29">
        <f t="shared" si="129"/>
        <v>100000</v>
      </c>
    </row>
    <row r="1086" spans="1:25" ht="41.25" customHeight="1">
      <c r="A1086" s="290"/>
      <c r="B1086" s="290"/>
      <c r="C1086" s="290"/>
      <c r="D1086" s="279"/>
      <c r="E1086" s="65" t="s">
        <v>218</v>
      </c>
      <c r="F1086" s="135">
        <f t="shared" si="137"/>
        <v>42500000</v>
      </c>
      <c r="G1086" s="134">
        <v>1</v>
      </c>
      <c r="H1086" s="135">
        <f t="shared" si="132"/>
        <v>42500000</v>
      </c>
      <c r="I1086" s="234">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30"/>
        <v>0</v>
      </c>
      <c r="X1086" s="29">
        <f>13333383.23+599936.4+2872905.6+2399840.4+1688728.36+6065043.03+84921.28+363713.37</f>
        <v>27408471.67</v>
      </c>
      <c r="Y1086" s="29">
        <f t="shared" si="129"/>
        <v>7335028.329999998</v>
      </c>
    </row>
    <row r="1087" spans="1:25" ht="56.25">
      <c r="A1087" s="290"/>
      <c r="B1087" s="290"/>
      <c r="C1087" s="290"/>
      <c r="D1087" s="279"/>
      <c r="E1087" s="65" t="s">
        <v>1024</v>
      </c>
      <c r="F1087" s="135">
        <f t="shared" si="137"/>
        <v>1500000</v>
      </c>
      <c r="G1087" s="134">
        <v>1</v>
      </c>
      <c r="H1087" s="135">
        <f t="shared" si="132"/>
        <v>1500000</v>
      </c>
      <c r="I1087" s="234">
        <v>3142</v>
      </c>
      <c r="J1087" s="29">
        <v>1500000</v>
      </c>
      <c r="K1087" s="29"/>
      <c r="L1087" s="29"/>
      <c r="M1087" s="29"/>
      <c r="N1087" s="29"/>
      <c r="O1087" s="29">
        <f>300000-80000</f>
        <v>220000</v>
      </c>
      <c r="P1087" s="29"/>
      <c r="Q1087" s="29">
        <v>80000</v>
      </c>
      <c r="R1087" s="29"/>
      <c r="S1087" s="29">
        <v>600000</v>
      </c>
      <c r="T1087" s="29">
        <v>600000</v>
      </c>
      <c r="U1087" s="29"/>
      <c r="V1087" s="29"/>
      <c r="W1087" s="29">
        <f t="shared" si="130"/>
        <v>0</v>
      </c>
      <c r="X1087" s="29"/>
      <c r="Y1087" s="29">
        <f t="shared" si="129"/>
        <v>300000</v>
      </c>
    </row>
    <row r="1088" spans="1:25" ht="83.25" customHeight="1">
      <c r="A1088" s="290"/>
      <c r="B1088" s="290"/>
      <c r="C1088" s="290"/>
      <c r="D1088" s="279"/>
      <c r="E1088" s="175" t="s">
        <v>608</v>
      </c>
      <c r="F1088" s="135">
        <f t="shared" si="137"/>
        <v>3200000</v>
      </c>
      <c r="G1088" s="134">
        <v>1</v>
      </c>
      <c r="H1088" s="135">
        <f t="shared" si="132"/>
        <v>3200000</v>
      </c>
      <c r="I1088" s="234">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30"/>
        <v>0</v>
      </c>
      <c r="X1088" s="29">
        <f>1303449+951.6</f>
        <v>1304400.6</v>
      </c>
      <c r="Y1088" s="29">
        <f t="shared" si="129"/>
        <v>1895599.4</v>
      </c>
    </row>
    <row r="1089" spans="1:25" ht="79.5" customHeight="1">
      <c r="A1089" s="290"/>
      <c r="B1089" s="290"/>
      <c r="C1089" s="290"/>
      <c r="D1089" s="279"/>
      <c r="E1089" s="65" t="s">
        <v>573</v>
      </c>
      <c r="F1089" s="135">
        <f t="shared" si="137"/>
        <v>147000</v>
      </c>
      <c r="G1089" s="134">
        <v>1</v>
      </c>
      <c r="H1089" s="135">
        <f t="shared" si="132"/>
        <v>147000</v>
      </c>
      <c r="I1089" s="234">
        <v>3142</v>
      </c>
      <c r="J1089" s="29">
        <v>147000</v>
      </c>
      <c r="K1089" s="29"/>
      <c r="L1089" s="29"/>
      <c r="M1089" s="29"/>
      <c r="N1089" s="29"/>
      <c r="O1089" s="29"/>
      <c r="P1089" s="29"/>
      <c r="Q1089" s="29"/>
      <c r="R1089" s="29"/>
      <c r="S1089" s="29"/>
      <c r="T1089" s="29"/>
      <c r="U1089" s="29">
        <v>147000</v>
      </c>
      <c r="V1089" s="29"/>
      <c r="W1089" s="29">
        <f t="shared" si="130"/>
        <v>0</v>
      </c>
      <c r="X1089" s="29"/>
      <c r="Y1089" s="29">
        <f t="shared" si="129"/>
        <v>0</v>
      </c>
    </row>
    <row r="1090" spans="1:25" ht="79.5" customHeight="1">
      <c r="A1090" s="290"/>
      <c r="B1090" s="290"/>
      <c r="C1090" s="290"/>
      <c r="D1090" s="279"/>
      <c r="E1090" s="65" t="s">
        <v>574</v>
      </c>
      <c r="F1090" s="135">
        <f t="shared" si="137"/>
        <v>1036000</v>
      </c>
      <c r="G1090" s="134">
        <v>1</v>
      </c>
      <c r="H1090" s="135">
        <f t="shared" si="132"/>
        <v>1036000</v>
      </c>
      <c r="I1090" s="234">
        <v>3142</v>
      </c>
      <c r="J1090" s="29">
        <v>1036000</v>
      </c>
      <c r="K1090" s="29"/>
      <c r="L1090" s="29"/>
      <c r="M1090" s="29"/>
      <c r="N1090" s="29"/>
      <c r="O1090" s="29"/>
      <c r="P1090" s="29"/>
      <c r="Q1090" s="29"/>
      <c r="R1090" s="29"/>
      <c r="S1090" s="29"/>
      <c r="T1090" s="29"/>
      <c r="U1090" s="29">
        <v>1036000</v>
      </c>
      <c r="V1090" s="29"/>
      <c r="W1090" s="29">
        <f t="shared" si="130"/>
        <v>0</v>
      </c>
      <c r="X1090" s="29"/>
      <c r="Y1090" s="29">
        <f t="shared" si="129"/>
        <v>0</v>
      </c>
    </row>
    <row r="1091" spans="1:25" ht="82.5" customHeight="1">
      <c r="A1091" s="290"/>
      <c r="B1091" s="290"/>
      <c r="C1091" s="290"/>
      <c r="D1091" s="279"/>
      <c r="E1091" s="65" t="s">
        <v>642</v>
      </c>
      <c r="F1091" s="135">
        <f t="shared" si="137"/>
        <v>137000</v>
      </c>
      <c r="G1091" s="134">
        <v>1</v>
      </c>
      <c r="H1091" s="135">
        <f t="shared" si="132"/>
        <v>137000</v>
      </c>
      <c r="I1091" s="234">
        <v>3142</v>
      </c>
      <c r="J1091" s="29">
        <v>137000</v>
      </c>
      <c r="K1091" s="29"/>
      <c r="L1091" s="29"/>
      <c r="M1091" s="29"/>
      <c r="N1091" s="29"/>
      <c r="O1091" s="29"/>
      <c r="P1091" s="29"/>
      <c r="Q1091" s="29"/>
      <c r="R1091" s="29"/>
      <c r="S1091" s="29"/>
      <c r="T1091" s="29"/>
      <c r="U1091" s="29">
        <v>137000</v>
      </c>
      <c r="V1091" s="29"/>
      <c r="W1091" s="29">
        <f t="shared" si="130"/>
        <v>0</v>
      </c>
      <c r="X1091" s="29"/>
      <c r="Y1091" s="29">
        <f t="shared" si="129"/>
        <v>0</v>
      </c>
    </row>
    <row r="1092" spans="1:25" ht="81" customHeight="1">
      <c r="A1092" s="290"/>
      <c r="B1092" s="290"/>
      <c r="C1092" s="290"/>
      <c r="D1092" s="279"/>
      <c r="E1092" s="65" t="s">
        <v>641</v>
      </c>
      <c r="F1092" s="135">
        <f t="shared" si="137"/>
        <v>254000</v>
      </c>
      <c r="G1092" s="134">
        <v>1</v>
      </c>
      <c r="H1092" s="135">
        <f t="shared" si="132"/>
        <v>254000</v>
      </c>
      <c r="I1092" s="234">
        <v>3142</v>
      </c>
      <c r="J1092" s="29">
        <v>254000</v>
      </c>
      <c r="K1092" s="29"/>
      <c r="L1092" s="29"/>
      <c r="M1092" s="29"/>
      <c r="N1092" s="29"/>
      <c r="O1092" s="29"/>
      <c r="P1092" s="29"/>
      <c r="Q1092" s="29"/>
      <c r="R1092" s="29"/>
      <c r="S1092" s="29"/>
      <c r="T1092" s="29"/>
      <c r="U1092" s="29">
        <v>254000</v>
      </c>
      <c r="V1092" s="29"/>
      <c r="W1092" s="29">
        <f t="shared" si="130"/>
        <v>0</v>
      </c>
      <c r="X1092" s="29"/>
      <c r="Y1092" s="29">
        <f t="shared" si="129"/>
        <v>0</v>
      </c>
    </row>
    <row r="1093" spans="1:25" ht="81.75" customHeight="1">
      <c r="A1093" s="290"/>
      <c r="B1093" s="290"/>
      <c r="C1093" s="290"/>
      <c r="D1093" s="279"/>
      <c r="E1093" s="65" t="s">
        <v>643</v>
      </c>
      <c r="F1093" s="135">
        <f t="shared" si="137"/>
        <v>400000</v>
      </c>
      <c r="G1093" s="134">
        <v>1</v>
      </c>
      <c r="H1093" s="135">
        <f t="shared" si="132"/>
        <v>400000</v>
      </c>
      <c r="I1093" s="234">
        <v>3142</v>
      </c>
      <c r="J1093" s="29">
        <v>400000</v>
      </c>
      <c r="K1093" s="29"/>
      <c r="L1093" s="29"/>
      <c r="M1093" s="29"/>
      <c r="N1093" s="29"/>
      <c r="O1093" s="29"/>
      <c r="P1093" s="29"/>
      <c r="Q1093" s="29"/>
      <c r="R1093" s="29"/>
      <c r="S1093" s="29"/>
      <c r="T1093" s="29"/>
      <c r="U1093" s="29">
        <v>400000</v>
      </c>
      <c r="V1093" s="29"/>
      <c r="W1093" s="29">
        <f t="shared" si="130"/>
        <v>0</v>
      </c>
      <c r="X1093" s="29"/>
      <c r="Y1093" s="29">
        <f t="shared" si="129"/>
        <v>0</v>
      </c>
    </row>
    <row r="1094" spans="1:25" ht="83.25" customHeight="1">
      <c r="A1094" s="290"/>
      <c r="B1094" s="290"/>
      <c r="C1094" s="290"/>
      <c r="D1094" s="279"/>
      <c r="E1094" s="28" t="s">
        <v>235</v>
      </c>
      <c r="F1094" s="135">
        <f t="shared" si="137"/>
        <v>248000</v>
      </c>
      <c r="G1094" s="134">
        <v>1</v>
      </c>
      <c r="H1094" s="135">
        <f t="shared" si="132"/>
        <v>248000</v>
      </c>
      <c r="I1094" s="234">
        <v>3142</v>
      </c>
      <c r="J1094" s="54">
        <v>248000</v>
      </c>
      <c r="K1094" s="29"/>
      <c r="L1094" s="29"/>
      <c r="M1094" s="29"/>
      <c r="N1094" s="29"/>
      <c r="O1094" s="29"/>
      <c r="P1094" s="29"/>
      <c r="Q1094" s="29"/>
      <c r="R1094" s="29"/>
      <c r="S1094" s="29"/>
      <c r="T1094" s="29"/>
      <c r="U1094" s="29">
        <v>248000</v>
      </c>
      <c r="V1094" s="29"/>
      <c r="W1094" s="29">
        <f t="shared" si="130"/>
        <v>0</v>
      </c>
      <c r="X1094" s="29"/>
      <c r="Y1094" s="29">
        <f aca="true" t="shared" si="138" ref="Y1094:Y1157">K1094+L1094+M1094+N1094+O1094+P1094+Q1094+R1094-X1094</f>
        <v>0</v>
      </c>
    </row>
    <row r="1095" spans="1:25" ht="78.75" customHeight="1">
      <c r="A1095" s="290"/>
      <c r="B1095" s="290"/>
      <c r="C1095" s="290"/>
      <c r="D1095" s="279"/>
      <c r="E1095" s="65" t="s">
        <v>221</v>
      </c>
      <c r="F1095" s="135">
        <f t="shared" si="137"/>
        <v>3300000</v>
      </c>
      <c r="G1095" s="134">
        <v>1</v>
      </c>
      <c r="H1095" s="135">
        <f t="shared" si="132"/>
        <v>3300000</v>
      </c>
      <c r="I1095" s="234">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30"/>
        <v>0</v>
      </c>
      <c r="X1095" s="29">
        <f>2455.85+748029.6</f>
        <v>750485.45</v>
      </c>
      <c r="Y1095" s="29">
        <f t="shared" si="138"/>
        <v>2549514.55</v>
      </c>
    </row>
    <row r="1096" spans="1:25" ht="93.75">
      <c r="A1096" s="290"/>
      <c r="B1096" s="290"/>
      <c r="C1096" s="290"/>
      <c r="D1096" s="279"/>
      <c r="E1096" s="65" t="s">
        <v>310</v>
      </c>
      <c r="F1096" s="135">
        <f t="shared" si="137"/>
        <v>12120000</v>
      </c>
      <c r="G1096" s="134">
        <v>1</v>
      </c>
      <c r="H1096" s="135">
        <f t="shared" si="132"/>
        <v>12120000</v>
      </c>
      <c r="I1096" s="234">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30"/>
        <v>-9.313225746154785E-10</v>
      </c>
      <c r="X1096" s="29">
        <f>37910.17+6413+179414.38+90180</f>
        <v>313917.55</v>
      </c>
      <c r="Y1096" s="29">
        <f t="shared" si="138"/>
        <v>9016882.45</v>
      </c>
    </row>
    <row r="1097" spans="1:25" ht="100.5" customHeight="1">
      <c r="A1097" s="290"/>
      <c r="B1097" s="290"/>
      <c r="C1097" s="290"/>
      <c r="D1097" s="279"/>
      <c r="E1097" s="65" t="s">
        <v>311</v>
      </c>
      <c r="F1097" s="135">
        <f t="shared" si="137"/>
        <v>21500000</v>
      </c>
      <c r="G1097" s="134">
        <v>1</v>
      </c>
      <c r="H1097" s="135">
        <f t="shared" si="132"/>
        <v>21500000</v>
      </c>
      <c r="I1097" s="234">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30"/>
        <v>0</v>
      </c>
      <c r="X1097" s="29">
        <f>4351772.44+7541+3400000+581526.71</f>
        <v>8340840.15</v>
      </c>
      <c r="Y1097" s="29">
        <f t="shared" si="138"/>
        <v>659159.8499999996</v>
      </c>
    </row>
    <row r="1098" spans="1:25" ht="100.5" customHeight="1">
      <c r="A1098" s="290"/>
      <c r="B1098" s="290"/>
      <c r="C1098" s="290"/>
      <c r="D1098" s="279"/>
      <c r="E1098" s="65" t="s">
        <v>930</v>
      </c>
      <c r="F1098" s="135">
        <f t="shared" si="137"/>
        <v>8000000</v>
      </c>
      <c r="G1098" s="134">
        <v>1</v>
      </c>
      <c r="H1098" s="135">
        <f t="shared" si="132"/>
        <v>8000000</v>
      </c>
      <c r="I1098" s="234">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30"/>
        <v>0</v>
      </c>
      <c r="X1098" s="29">
        <f>3875000+140381</f>
        <v>4015381</v>
      </c>
      <c r="Y1098" s="29">
        <f t="shared" si="138"/>
        <v>125619</v>
      </c>
    </row>
    <row r="1099" spans="1:25" ht="100.5" customHeight="1">
      <c r="A1099" s="290"/>
      <c r="B1099" s="290"/>
      <c r="C1099" s="290"/>
      <c r="D1099" s="279"/>
      <c r="E1099" s="65" t="s">
        <v>633</v>
      </c>
      <c r="F1099" s="135">
        <f t="shared" si="137"/>
        <v>1000000</v>
      </c>
      <c r="G1099" s="134">
        <v>1</v>
      </c>
      <c r="H1099" s="135">
        <f t="shared" si="132"/>
        <v>1000000</v>
      </c>
      <c r="I1099" s="234">
        <v>3142</v>
      </c>
      <c r="J1099" s="29">
        <v>1000000</v>
      </c>
      <c r="K1099" s="29"/>
      <c r="L1099" s="29"/>
      <c r="M1099" s="29"/>
      <c r="N1099" s="29"/>
      <c r="O1099" s="29">
        <v>100000</v>
      </c>
      <c r="P1099" s="29"/>
      <c r="Q1099" s="29"/>
      <c r="R1099" s="29"/>
      <c r="S1099" s="29"/>
      <c r="T1099" s="29">
        <f>500000-100000</f>
        <v>400000</v>
      </c>
      <c r="U1099" s="29"/>
      <c r="V1099" s="29">
        <v>500000</v>
      </c>
      <c r="W1099" s="29">
        <f t="shared" si="130"/>
        <v>0</v>
      </c>
      <c r="X1099" s="29">
        <f>98383</f>
        <v>98383</v>
      </c>
      <c r="Y1099" s="29">
        <f t="shared" si="138"/>
        <v>1617</v>
      </c>
    </row>
    <row r="1100" spans="1:25" ht="37.5">
      <c r="A1100" s="290"/>
      <c r="B1100" s="290"/>
      <c r="C1100" s="290"/>
      <c r="D1100" s="279"/>
      <c r="E1100" s="28" t="s">
        <v>236</v>
      </c>
      <c r="F1100" s="135">
        <f t="shared" si="137"/>
        <v>500000</v>
      </c>
      <c r="G1100" s="134">
        <v>1</v>
      </c>
      <c r="H1100" s="135">
        <f t="shared" si="132"/>
        <v>500000</v>
      </c>
      <c r="I1100" s="234">
        <v>3122</v>
      </c>
      <c r="J1100" s="54">
        <v>500000</v>
      </c>
      <c r="K1100" s="29"/>
      <c r="L1100" s="29"/>
      <c r="M1100" s="29"/>
      <c r="N1100" s="29"/>
      <c r="O1100" s="29"/>
      <c r="P1100" s="29"/>
      <c r="Q1100" s="29"/>
      <c r="R1100" s="29"/>
      <c r="S1100" s="29"/>
      <c r="T1100" s="29"/>
      <c r="U1100" s="29">
        <v>250000</v>
      </c>
      <c r="V1100" s="29">
        <v>250000</v>
      </c>
      <c r="W1100" s="29">
        <f t="shared" si="130"/>
        <v>0</v>
      </c>
      <c r="X1100" s="29"/>
      <c r="Y1100" s="29">
        <f t="shared" si="138"/>
        <v>0</v>
      </c>
    </row>
    <row r="1101" spans="1:25" ht="44.25" customHeight="1">
      <c r="A1101" s="290"/>
      <c r="B1101" s="297"/>
      <c r="C1101" s="290"/>
      <c r="D1101" s="279"/>
      <c r="E1101" s="28" t="s">
        <v>960</v>
      </c>
      <c r="F1101" s="135">
        <f t="shared" si="137"/>
        <v>1295000</v>
      </c>
      <c r="G1101" s="134">
        <v>1</v>
      </c>
      <c r="H1101" s="135">
        <f t="shared" si="132"/>
        <v>1295000</v>
      </c>
      <c r="I1101" s="234">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30"/>
        <v>0</v>
      </c>
      <c r="X1101" s="29"/>
      <c r="Y1101" s="29">
        <f t="shared" si="138"/>
        <v>100000</v>
      </c>
    </row>
    <row r="1102" spans="1:25" ht="18.75">
      <c r="A1102" s="293" t="s">
        <v>1096</v>
      </c>
      <c r="B1102" s="293" t="s">
        <v>1087</v>
      </c>
      <c r="C1102" s="293" t="s">
        <v>973</v>
      </c>
      <c r="D1102" s="278" t="s">
        <v>475</v>
      </c>
      <c r="E1102" s="28"/>
      <c r="F1102" s="28"/>
      <c r="G1102" s="28"/>
      <c r="H1102" s="28"/>
      <c r="I1102" s="226"/>
      <c r="J1102" s="60">
        <f>J1104+J1103</f>
        <v>7335800</v>
      </c>
      <c r="K1102" s="60">
        <f aca="true" t="shared" si="139" ref="K1102:X1102">K1104+K1103</f>
        <v>0</v>
      </c>
      <c r="L1102" s="60">
        <f t="shared" si="139"/>
        <v>0</v>
      </c>
      <c r="M1102" s="60">
        <f t="shared" si="139"/>
        <v>500000</v>
      </c>
      <c r="N1102" s="60">
        <f t="shared" si="139"/>
        <v>-85125</v>
      </c>
      <c r="O1102" s="60">
        <f t="shared" si="139"/>
        <v>0</v>
      </c>
      <c r="P1102" s="60">
        <f t="shared" si="139"/>
        <v>0</v>
      </c>
      <c r="Q1102" s="60">
        <f t="shared" si="139"/>
        <v>0</v>
      </c>
      <c r="R1102" s="60">
        <f t="shared" si="139"/>
        <v>243500</v>
      </c>
      <c r="S1102" s="60">
        <f t="shared" si="139"/>
        <v>250000</v>
      </c>
      <c r="T1102" s="60">
        <f t="shared" si="139"/>
        <v>266500</v>
      </c>
      <c r="U1102" s="60">
        <f t="shared" si="139"/>
        <v>5585125</v>
      </c>
      <c r="V1102" s="60">
        <f t="shared" si="139"/>
        <v>575800</v>
      </c>
      <c r="W1102" s="60">
        <f t="shared" si="139"/>
        <v>0</v>
      </c>
      <c r="X1102" s="60">
        <f t="shared" si="139"/>
        <v>93059.15999999999</v>
      </c>
      <c r="Y1102" s="29">
        <f t="shared" si="138"/>
        <v>565315.84</v>
      </c>
    </row>
    <row r="1103" spans="1:25" ht="75">
      <c r="A1103" s="299"/>
      <c r="B1103" s="299"/>
      <c r="C1103" s="299"/>
      <c r="D1103" s="279"/>
      <c r="E1103" s="28" t="s">
        <v>21</v>
      </c>
      <c r="F1103" s="28"/>
      <c r="G1103" s="74"/>
      <c r="H1103" s="28"/>
      <c r="I1103" s="226">
        <v>3122</v>
      </c>
      <c r="J1103" s="54">
        <v>760000</v>
      </c>
      <c r="K1103" s="54"/>
      <c r="L1103" s="54"/>
      <c r="M1103" s="54"/>
      <c r="N1103" s="54"/>
      <c r="O1103" s="54"/>
      <c r="P1103" s="54"/>
      <c r="Q1103" s="54">
        <v>100000</v>
      </c>
      <c r="R1103" s="54">
        <v>243500</v>
      </c>
      <c r="S1103" s="54">
        <f>250000-100000</f>
        <v>150000</v>
      </c>
      <c r="T1103" s="54">
        <v>266500</v>
      </c>
      <c r="U1103" s="54"/>
      <c r="V1103" s="54"/>
      <c r="W1103" s="29">
        <f t="shared" si="130"/>
        <v>0</v>
      </c>
      <c r="X1103" s="54">
        <f>89885.51</f>
        <v>89885.51</v>
      </c>
      <c r="Y1103" s="29">
        <f t="shared" si="138"/>
        <v>253614.49</v>
      </c>
    </row>
    <row r="1104" spans="1:25" ht="56.25">
      <c r="A1104" s="294"/>
      <c r="B1104" s="294"/>
      <c r="C1104" s="294"/>
      <c r="D1104" s="292"/>
      <c r="E1104" s="61" t="s">
        <v>892</v>
      </c>
      <c r="F1104" s="135">
        <f>J1104</f>
        <v>6575800</v>
      </c>
      <c r="G1104" s="134">
        <v>1</v>
      </c>
      <c r="H1104" s="135">
        <f t="shared" si="132"/>
        <v>6575800</v>
      </c>
      <c r="I1104" s="234">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30"/>
        <v>0</v>
      </c>
      <c r="X1104" s="29">
        <f>3173.65</f>
        <v>3173.65</v>
      </c>
      <c r="Y1104" s="29">
        <f t="shared" si="138"/>
        <v>311701.35</v>
      </c>
    </row>
    <row r="1105" spans="1:25" ht="18" customHeight="1" hidden="1">
      <c r="A1105" s="305" t="s">
        <v>645</v>
      </c>
      <c r="B1105" s="6"/>
      <c r="C1105" s="305" t="s">
        <v>815</v>
      </c>
      <c r="D1105" s="300" t="s">
        <v>281</v>
      </c>
      <c r="E1105" s="28"/>
      <c r="F1105" s="28"/>
      <c r="G1105" s="28"/>
      <c r="H1105" s="28"/>
      <c r="I1105" s="226"/>
      <c r="J1105" s="60">
        <f>J1106</f>
        <v>0</v>
      </c>
      <c r="K1105" s="29"/>
      <c r="L1105" s="29"/>
      <c r="M1105" s="29"/>
      <c r="N1105" s="29"/>
      <c r="O1105" s="29"/>
      <c r="P1105" s="29"/>
      <c r="Q1105" s="29"/>
      <c r="R1105" s="29"/>
      <c r="S1105" s="29"/>
      <c r="T1105" s="29"/>
      <c r="U1105" s="29"/>
      <c r="V1105" s="29"/>
      <c r="W1105" s="29">
        <f aca="true" t="shared" si="140" ref="W1105:W1167">J1105-K1105-L1105-M1105-N1105-O1105-P1105-Q1105-R1105-S1105-T1105-U1105-V1105</f>
        <v>0</v>
      </c>
      <c r="X1105" s="29"/>
      <c r="Y1105" s="29">
        <f t="shared" si="138"/>
        <v>0</v>
      </c>
    </row>
    <row r="1106" spans="1:25" ht="18" hidden="1">
      <c r="A1106" s="306"/>
      <c r="B1106" s="15"/>
      <c r="C1106" s="306"/>
      <c r="D1106" s="301"/>
      <c r="E1106" s="28"/>
      <c r="F1106" s="28"/>
      <c r="G1106" s="28"/>
      <c r="H1106" s="28"/>
      <c r="I1106" s="226"/>
      <c r="J1106" s="54"/>
      <c r="K1106" s="29"/>
      <c r="L1106" s="29"/>
      <c r="M1106" s="29"/>
      <c r="N1106" s="29"/>
      <c r="O1106" s="29"/>
      <c r="P1106" s="29"/>
      <c r="Q1106" s="29"/>
      <c r="R1106" s="29"/>
      <c r="S1106" s="29"/>
      <c r="T1106" s="29"/>
      <c r="U1106" s="29"/>
      <c r="V1106" s="29"/>
      <c r="W1106" s="29">
        <f t="shared" si="140"/>
        <v>0</v>
      </c>
      <c r="X1106" s="29"/>
      <c r="Y1106" s="29">
        <f t="shared" si="138"/>
        <v>0</v>
      </c>
    </row>
    <row r="1107" spans="1:25" ht="18.75">
      <c r="A1107" s="296" t="s">
        <v>1067</v>
      </c>
      <c r="B1107" s="289" t="s">
        <v>1120</v>
      </c>
      <c r="C1107" s="296" t="s">
        <v>816</v>
      </c>
      <c r="D1107" s="291" t="s">
        <v>817</v>
      </c>
      <c r="E1107" s="65"/>
      <c r="F1107" s="65"/>
      <c r="G1107" s="65"/>
      <c r="H1107" s="65"/>
      <c r="I1107" s="256"/>
      <c r="J1107" s="31">
        <f>J1108+J1109+J1116+J1119</f>
        <v>1409530</v>
      </c>
      <c r="K1107" s="31">
        <f aca="true" t="shared" si="141" ref="K1107:X1107">K1108+K1109+K1116+K1119</f>
        <v>0</v>
      </c>
      <c r="L1107" s="31">
        <f t="shared" si="141"/>
        <v>0</v>
      </c>
      <c r="M1107" s="31">
        <f t="shared" si="141"/>
        <v>402800</v>
      </c>
      <c r="N1107" s="31">
        <f t="shared" si="141"/>
        <v>407530</v>
      </c>
      <c r="O1107" s="31">
        <f t="shared" si="141"/>
        <v>101800</v>
      </c>
      <c r="P1107" s="31">
        <f t="shared" si="141"/>
        <v>35800</v>
      </c>
      <c r="Q1107" s="31">
        <f t="shared" si="141"/>
        <v>26800</v>
      </c>
      <c r="R1107" s="31">
        <f t="shared" si="141"/>
        <v>11600</v>
      </c>
      <c r="S1107" s="31">
        <f t="shared" si="141"/>
        <v>5800</v>
      </c>
      <c r="T1107" s="31">
        <f t="shared" si="141"/>
        <v>355800</v>
      </c>
      <c r="U1107" s="31">
        <f t="shared" si="141"/>
        <v>55800</v>
      </c>
      <c r="V1107" s="31">
        <f t="shared" si="141"/>
        <v>5800</v>
      </c>
      <c r="W1107" s="31">
        <f t="shared" si="141"/>
        <v>0</v>
      </c>
      <c r="X1107" s="31">
        <f t="shared" si="141"/>
        <v>579921.71</v>
      </c>
      <c r="Y1107" s="29">
        <f t="shared" si="138"/>
        <v>406408.29000000004</v>
      </c>
    </row>
    <row r="1108" spans="1:25" ht="44.25" customHeight="1">
      <c r="A1108" s="296"/>
      <c r="B1108" s="290"/>
      <c r="C1108" s="296"/>
      <c r="D1108" s="291"/>
      <c r="E1108" s="28" t="s">
        <v>961</v>
      </c>
      <c r="F1108" s="135">
        <f>J1108</f>
        <v>50000</v>
      </c>
      <c r="G1108" s="134">
        <v>1</v>
      </c>
      <c r="H1108" s="135">
        <f>J1108</f>
        <v>50000</v>
      </c>
      <c r="I1108" s="234">
        <v>3132</v>
      </c>
      <c r="J1108" s="54">
        <v>50000</v>
      </c>
      <c r="K1108" s="29"/>
      <c r="L1108" s="29"/>
      <c r="M1108" s="29">
        <v>50000</v>
      </c>
      <c r="N1108" s="29"/>
      <c r="O1108" s="29"/>
      <c r="P1108" s="29"/>
      <c r="Q1108" s="29"/>
      <c r="R1108" s="29"/>
      <c r="S1108" s="29"/>
      <c r="T1108" s="29"/>
      <c r="U1108" s="29"/>
      <c r="V1108" s="29"/>
      <c r="W1108" s="29">
        <f t="shared" si="140"/>
        <v>0</v>
      </c>
      <c r="X1108" s="29">
        <f>43508.4+673.31</f>
        <v>44181.71</v>
      </c>
      <c r="Y1108" s="29">
        <f t="shared" si="138"/>
        <v>5818.290000000001</v>
      </c>
    </row>
    <row r="1109" spans="1:25" ht="64.5" customHeight="1">
      <c r="A1109" s="296"/>
      <c r="B1109" s="290"/>
      <c r="C1109" s="296"/>
      <c r="D1109" s="291"/>
      <c r="E1109" s="30" t="s">
        <v>974</v>
      </c>
      <c r="F1109" s="30"/>
      <c r="G1109" s="30"/>
      <c r="H1109" s="30"/>
      <c r="I1109" s="227"/>
      <c r="J1109" s="60">
        <f>SUM(J1110:J1115)</f>
        <v>934530</v>
      </c>
      <c r="K1109" s="60">
        <f aca="true" t="shared" si="142" ref="K1109:X1109">SUM(K1110:K1115)</f>
        <v>0</v>
      </c>
      <c r="L1109" s="60">
        <f t="shared" si="142"/>
        <v>0</v>
      </c>
      <c r="M1109" s="60">
        <f t="shared" si="142"/>
        <v>347000</v>
      </c>
      <c r="N1109" s="60">
        <f t="shared" si="142"/>
        <v>187530</v>
      </c>
      <c r="O1109" s="60">
        <f t="shared" si="142"/>
        <v>0</v>
      </c>
      <c r="P1109" s="60">
        <f t="shared" si="142"/>
        <v>0</v>
      </c>
      <c r="Q1109" s="60">
        <f t="shared" si="142"/>
        <v>0</v>
      </c>
      <c r="R1109" s="60">
        <f t="shared" si="142"/>
        <v>0</v>
      </c>
      <c r="S1109" s="60">
        <f t="shared" si="142"/>
        <v>0</v>
      </c>
      <c r="T1109" s="60">
        <f t="shared" si="142"/>
        <v>350000</v>
      </c>
      <c r="U1109" s="60">
        <f t="shared" si="142"/>
        <v>50000</v>
      </c>
      <c r="V1109" s="60">
        <f t="shared" si="142"/>
        <v>0</v>
      </c>
      <c r="W1109" s="60">
        <f t="shared" si="142"/>
        <v>0</v>
      </c>
      <c r="X1109" s="60">
        <f t="shared" si="142"/>
        <v>534530</v>
      </c>
      <c r="Y1109" s="29">
        <f t="shared" si="138"/>
        <v>0</v>
      </c>
    </row>
    <row r="1110" spans="1:25" ht="56.25">
      <c r="A1110" s="296"/>
      <c r="B1110" s="290"/>
      <c r="C1110" s="296"/>
      <c r="D1110" s="291"/>
      <c r="E1110" s="28" t="s">
        <v>602</v>
      </c>
      <c r="F1110" s="28"/>
      <c r="G1110" s="28"/>
      <c r="H1110" s="28"/>
      <c r="I1110" s="226">
        <v>2281</v>
      </c>
      <c r="J1110" s="54">
        <v>187530</v>
      </c>
      <c r="K1110" s="29"/>
      <c r="L1110" s="178"/>
      <c r="M1110" s="178"/>
      <c r="N1110" s="179">
        <v>187530</v>
      </c>
      <c r="O1110" s="178"/>
      <c r="P1110" s="178"/>
      <c r="Q1110" s="178"/>
      <c r="R1110" s="178"/>
      <c r="S1110" s="178"/>
      <c r="T1110" s="178"/>
      <c r="U1110" s="178"/>
      <c r="V1110" s="178"/>
      <c r="W1110" s="29">
        <f t="shared" si="140"/>
        <v>0</v>
      </c>
      <c r="X1110" s="29">
        <v>187530</v>
      </c>
      <c r="Y1110" s="29">
        <f t="shared" si="138"/>
        <v>0</v>
      </c>
    </row>
    <row r="1111" spans="1:25" ht="54" hidden="1">
      <c r="A1111" s="296"/>
      <c r="B1111" s="290"/>
      <c r="C1111" s="296"/>
      <c r="D1111" s="291"/>
      <c r="E1111" s="28" t="s">
        <v>962</v>
      </c>
      <c r="F1111" s="28"/>
      <c r="G1111" s="28"/>
      <c r="H1111" s="28"/>
      <c r="I1111" s="226">
        <v>2281</v>
      </c>
      <c r="J1111" s="54">
        <f>190000-190000</f>
        <v>0</v>
      </c>
      <c r="K1111" s="29"/>
      <c r="L1111" s="146"/>
      <c r="M1111" s="146"/>
      <c r="N1111" s="146"/>
      <c r="O1111" s="146"/>
      <c r="P1111" s="179">
        <f>190000-190000</f>
        <v>0</v>
      </c>
      <c r="Q1111" s="146"/>
      <c r="R1111" s="146"/>
      <c r="S1111" s="146"/>
      <c r="T1111" s="146"/>
      <c r="U1111" s="146"/>
      <c r="V1111" s="146"/>
      <c r="W1111" s="29">
        <f t="shared" si="140"/>
        <v>0</v>
      </c>
      <c r="X1111" s="29"/>
      <c r="Y1111" s="29">
        <f t="shared" si="138"/>
        <v>0</v>
      </c>
    </row>
    <row r="1112" spans="1:25" ht="37.5">
      <c r="A1112" s="296"/>
      <c r="B1112" s="290"/>
      <c r="C1112" s="296"/>
      <c r="D1112" s="291"/>
      <c r="E1112" s="28" t="s">
        <v>564</v>
      </c>
      <c r="F1112" s="28"/>
      <c r="G1112" s="28"/>
      <c r="H1112" s="28"/>
      <c r="I1112" s="226">
        <v>2281</v>
      </c>
      <c r="J1112" s="54">
        <v>50000</v>
      </c>
      <c r="K1112" s="29"/>
      <c r="L1112" s="146"/>
      <c r="M1112" s="146"/>
      <c r="N1112" s="146"/>
      <c r="O1112" s="146"/>
      <c r="P1112" s="146"/>
      <c r="Q1112" s="146"/>
      <c r="R1112" s="146"/>
      <c r="S1112" s="146"/>
      <c r="T1112" s="146"/>
      <c r="U1112" s="179">
        <v>50000</v>
      </c>
      <c r="V1112" s="146"/>
      <c r="W1112" s="29">
        <f t="shared" si="140"/>
        <v>0</v>
      </c>
      <c r="X1112" s="29"/>
      <c r="Y1112" s="29">
        <f t="shared" si="138"/>
        <v>0</v>
      </c>
    </row>
    <row r="1113" spans="1:25" ht="93.75">
      <c r="A1113" s="296"/>
      <c r="B1113" s="290"/>
      <c r="C1113" s="296"/>
      <c r="D1113" s="291"/>
      <c r="E1113" s="28" t="s">
        <v>565</v>
      </c>
      <c r="F1113" s="28"/>
      <c r="G1113" s="28"/>
      <c r="H1113" s="28"/>
      <c r="I1113" s="226">
        <v>2281</v>
      </c>
      <c r="J1113" s="54">
        <v>229500</v>
      </c>
      <c r="K1113" s="29"/>
      <c r="L1113" s="146"/>
      <c r="M1113" s="179">
        <v>229500</v>
      </c>
      <c r="N1113" s="146"/>
      <c r="O1113" s="146"/>
      <c r="P1113" s="146"/>
      <c r="Q1113" s="146"/>
      <c r="R1113" s="146"/>
      <c r="S1113" s="146"/>
      <c r="T1113" s="146"/>
      <c r="U1113" s="146"/>
      <c r="V1113" s="146"/>
      <c r="W1113" s="29">
        <f t="shared" si="140"/>
        <v>0</v>
      </c>
      <c r="X1113" s="29">
        <f>137700+91800</f>
        <v>229500</v>
      </c>
      <c r="Y1113" s="29">
        <f t="shared" si="138"/>
        <v>0</v>
      </c>
    </row>
    <row r="1114" spans="1:25" ht="93.75">
      <c r="A1114" s="296"/>
      <c r="B1114" s="290"/>
      <c r="C1114" s="296"/>
      <c r="D1114" s="291"/>
      <c r="E1114" s="28" t="s">
        <v>566</v>
      </c>
      <c r="F1114" s="28"/>
      <c r="G1114" s="28"/>
      <c r="H1114" s="28"/>
      <c r="I1114" s="226">
        <v>2281</v>
      </c>
      <c r="J1114" s="54">
        <v>117500</v>
      </c>
      <c r="K1114" s="29"/>
      <c r="L1114" s="146"/>
      <c r="M1114" s="179">
        <v>117500</v>
      </c>
      <c r="N1114" s="146"/>
      <c r="O1114" s="146"/>
      <c r="P1114" s="146"/>
      <c r="Q1114" s="146"/>
      <c r="R1114" s="146"/>
      <c r="S1114" s="146"/>
      <c r="T1114" s="146"/>
      <c r="U1114" s="146"/>
      <c r="V1114" s="146"/>
      <c r="W1114" s="29">
        <f t="shared" si="140"/>
        <v>0</v>
      </c>
      <c r="X1114" s="29">
        <f>70500+47000</f>
        <v>117500</v>
      </c>
      <c r="Y1114" s="29">
        <f t="shared" si="138"/>
        <v>0</v>
      </c>
    </row>
    <row r="1115" spans="1:25" ht="93.75">
      <c r="A1115" s="296"/>
      <c r="B1115" s="290"/>
      <c r="C1115" s="296"/>
      <c r="D1115" s="291"/>
      <c r="E1115" s="28" t="s">
        <v>567</v>
      </c>
      <c r="F1115" s="28"/>
      <c r="G1115" s="28"/>
      <c r="H1115" s="28"/>
      <c r="I1115" s="226">
        <v>2281</v>
      </c>
      <c r="J1115" s="54">
        <v>350000</v>
      </c>
      <c r="K1115" s="29"/>
      <c r="L1115" s="146"/>
      <c r="M1115" s="146"/>
      <c r="N1115" s="146"/>
      <c r="O1115" s="146"/>
      <c r="P1115" s="146"/>
      <c r="Q1115" s="146"/>
      <c r="R1115" s="146"/>
      <c r="S1115" s="146"/>
      <c r="T1115" s="179">
        <v>350000</v>
      </c>
      <c r="U1115" s="146"/>
      <c r="V1115" s="146"/>
      <c r="W1115" s="29">
        <f t="shared" si="140"/>
        <v>0</v>
      </c>
      <c r="X1115" s="29"/>
      <c r="Y1115" s="29">
        <f t="shared" si="138"/>
        <v>0</v>
      </c>
    </row>
    <row r="1116" spans="1:25" ht="75">
      <c r="A1116" s="296"/>
      <c r="B1116" s="290"/>
      <c r="C1116" s="296"/>
      <c r="D1116" s="291"/>
      <c r="E1116" s="30" t="s">
        <v>188</v>
      </c>
      <c r="F1116" s="30"/>
      <c r="G1116" s="30"/>
      <c r="H1116" s="30"/>
      <c r="I1116" s="226"/>
      <c r="J1116" s="60">
        <f>SUM(J1117:J1118)</f>
        <v>58000</v>
      </c>
      <c r="K1116" s="60">
        <f aca="true" t="shared" si="143" ref="K1116:X1116">SUM(K1117:K1118)</f>
        <v>0</v>
      </c>
      <c r="L1116" s="60">
        <f t="shared" si="143"/>
        <v>0</v>
      </c>
      <c r="M1116" s="60">
        <f t="shared" si="143"/>
        <v>5800</v>
      </c>
      <c r="N1116" s="60">
        <f t="shared" si="143"/>
        <v>0</v>
      </c>
      <c r="O1116" s="60">
        <f t="shared" si="143"/>
        <v>5800</v>
      </c>
      <c r="P1116" s="60">
        <f t="shared" si="143"/>
        <v>5800</v>
      </c>
      <c r="Q1116" s="60">
        <f t="shared" si="143"/>
        <v>5800</v>
      </c>
      <c r="R1116" s="60">
        <f t="shared" si="143"/>
        <v>11600</v>
      </c>
      <c r="S1116" s="60">
        <f t="shared" si="143"/>
        <v>5800</v>
      </c>
      <c r="T1116" s="60">
        <f t="shared" si="143"/>
        <v>5800</v>
      </c>
      <c r="U1116" s="60">
        <f t="shared" si="143"/>
        <v>5800</v>
      </c>
      <c r="V1116" s="60">
        <f t="shared" si="143"/>
        <v>5800</v>
      </c>
      <c r="W1116" s="60">
        <f t="shared" si="143"/>
        <v>0</v>
      </c>
      <c r="X1116" s="60">
        <f t="shared" si="143"/>
        <v>1210</v>
      </c>
      <c r="Y1116" s="29">
        <f t="shared" si="138"/>
        <v>33590</v>
      </c>
    </row>
    <row r="1117" spans="1:25" ht="37.5">
      <c r="A1117" s="296"/>
      <c r="B1117" s="290"/>
      <c r="C1117" s="296"/>
      <c r="D1117" s="291"/>
      <c r="E1117" s="28" t="s">
        <v>156</v>
      </c>
      <c r="F1117" s="28"/>
      <c r="G1117" s="28"/>
      <c r="H1117" s="28"/>
      <c r="I1117" s="226">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40"/>
        <v>0</v>
      </c>
      <c r="X1117" s="29">
        <f>630+300+280</f>
        <v>1210</v>
      </c>
      <c r="Y1117" s="29">
        <f t="shared" si="138"/>
        <v>16190</v>
      </c>
    </row>
    <row r="1118" spans="1:25" ht="37.5">
      <c r="A1118" s="296"/>
      <c r="B1118" s="290"/>
      <c r="C1118" s="296"/>
      <c r="D1118" s="291"/>
      <c r="E1118" s="28" t="s">
        <v>917</v>
      </c>
      <c r="F1118" s="28"/>
      <c r="G1118" s="28"/>
      <c r="H1118" s="28"/>
      <c r="I1118" s="226">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40"/>
        <v>0</v>
      </c>
      <c r="X1118" s="29"/>
      <c r="Y1118" s="29">
        <f t="shared" si="138"/>
        <v>17400</v>
      </c>
    </row>
    <row r="1119" spans="1:25" ht="65.25" customHeight="1">
      <c r="A1119" s="296"/>
      <c r="B1119" s="290"/>
      <c r="C1119" s="296"/>
      <c r="D1119" s="291"/>
      <c r="E1119" s="30" t="s">
        <v>918</v>
      </c>
      <c r="F1119" s="30"/>
      <c r="G1119" s="30"/>
      <c r="H1119" s="30"/>
      <c r="I1119" s="227"/>
      <c r="J1119" s="60">
        <f>SUM(J1120:J1123)</f>
        <v>367000</v>
      </c>
      <c r="K1119" s="60">
        <f aca="true" t="shared" si="144" ref="K1119:X1119">SUM(K1120:K1123)</f>
        <v>0</v>
      </c>
      <c r="L1119" s="60">
        <f t="shared" si="144"/>
        <v>0</v>
      </c>
      <c r="M1119" s="60">
        <f t="shared" si="144"/>
        <v>0</v>
      </c>
      <c r="N1119" s="60">
        <f t="shared" si="144"/>
        <v>220000</v>
      </c>
      <c r="O1119" s="60">
        <f t="shared" si="144"/>
        <v>96000</v>
      </c>
      <c r="P1119" s="60">
        <f t="shared" si="144"/>
        <v>30000</v>
      </c>
      <c r="Q1119" s="60">
        <f t="shared" si="144"/>
        <v>21000</v>
      </c>
      <c r="R1119" s="60">
        <f t="shared" si="144"/>
        <v>0</v>
      </c>
      <c r="S1119" s="60">
        <f t="shared" si="144"/>
        <v>0</v>
      </c>
      <c r="T1119" s="60">
        <f t="shared" si="144"/>
        <v>0</v>
      </c>
      <c r="U1119" s="60">
        <f t="shared" si="144"/>
        <v>0</v>
      </c>
      <c r="V1119" s="60">
        <f t="shared" si="144"/>
        <v>0</v>
      </c>
      <c r="W1119" s="60">
        <f t="shared" si="144"/>
        <v>0</v>
      </c>
      <c r="X1119" s="60">
        <f t="shared" si="144"/>
        <v>0</v>
      </c>
      <c r="Y1119" s="29">
        <f t="shared" si="138"/>
        <v>367000</v>
      </c>
    </row>
    <row r="1120" spans="1:25" ht="56.25">
      <c r="A1120" s="296"/>
      <c r="B1120" s="290"/>
      <c r="C1120" s="296"/>
      <c r="D1120" s="291"/>
      <c r="E1120" s="28" t="s">
        <v>601</v>
      </c>
      <c r="F1120" s="28"/>
      <c r="G1120" s="28"/>
      <c r="H1120" s="28"/>
      <c r="I1120" s="226">
        <v>3110</v>
      </c>
      <c r="J1120" s="54">
        <v>30000</v>
      </c>
      <c r="K1120" s="29"/>
      <c r="L1120" s="29"/>
      <c r="M1120" s="29"/>
      <c r="N1120" s="29"/>
      <c r="O1120" s="29"/>
      <c r="P1120" s="29">
        <v>30000</v>
      </c>
      <c r="Q1120" s="29"/>
      <c r="R1120" s="29"/>
      <c r="S1120" s="29"/>
      <c r="T1120" s="29"/>
      <c r="U1120" s="29"/>
      <c r="V1120" s="29"/>
      <c r="W1120" s="29">
        <f t="shared" si="140"/>
        <v>0</v>
      </c>
      <c r="X1120" s="29"/>
      <c r="Y1120" s="29">
        <f t="shared" si="138"/>
        <v>30000</v>
      </c>
    </row>
    <row r="1121" spans="1:25" ht="93.75">
      <c r="A1121" s="296"/>
      <c r="B1121" s="290"/>
      <c r="C1121" s="296"/>
      <c r="D1121" s="291"/>
      <c r="E1121" s="28" t="s">
        <v>561</v>
      </c>
      <c r="F1121" s="28"/>
      <c r="G1121" s="28"/>
      <c r="H1121" s="28"/>
      <c r="I1121" s="226">
        <v>3110</v>
      </c>
      <c r="J1121" s="54">
        <v>196000</v>
      </c>
      <c r="K1121" s="29"/>
      <c r="L1121" s="29"/>
      <c r="M1121" s="29"/>
      <c r="N1121" s="29">
        <v>196000</v>
      </c>
      <c r="O1121" s="29"/>
      <c r="P1121" s="29"/>
      <c r="Q1121" s="29"/>
      <c r="R1121" s="29"/>
      <c r="S1121" s="29"/>
      <c r="T1121" s="29"/>
      <c r="U1121" s="29"/>
      <c r="V1121" s="29"/>
      <c r="W1121" s="29">
        <f t="shared" si="140"/>
        <v>0</v>
      </c>
      <c r="X1121" s="29"/>
      <c r="Y1121" s="29">
        <f t="shared" si="138"/>
        <v>196000</v>
      </c>
    </row>
    <row r="1122" spans="1:25" ht="123" customHeight="1">
      <c r="A1122" s="296"/>
      <c r="B1122" s="290"/>
      <c r="C1122" s="296"/>
      <c r="D1122" s="291"/>
      <c r="E1122" s="28" t="s">
        <v>634</v>
      </c>
      <c r="F1122" s="28"/>
      <c r="G1122" s="28"/>
      <c r="H1122" s="28"/>
      <c r="I1122" s="226">
        <v>3110</v>
      </c>
      <c r="J1122" s="54">
        <v>96000</v>
      </c>
      <c r="K1122" s="29"/>
      <c r="L1122" s="29"/>
      <c r="M1122" s="29"/>
      <c r="N1122" s="29"/>
      <c r="O1122" s="29">
        <v>96000</v>
      </c>
      <c r="P1122" s="29"/>
      <c r="Q1122" s="29"/>
      <c r="R1122" s="29"/>
      <c r="S1122" s="29"/>
      <c r="T1122" s="29"/>
      <c r="U1122" s="29"/>
      <c r="V1122" s="29"/>
      <c r="W1122" s="29">
        <f t="shared" si="140"/>
        <v>0</v>
      </c>
      <c r="X1122" s="29"/>
      <c r="Y1122" s="29">
        <f t="shared" si="138"/>
        <v>96000</v>
      </c>
    </row>
    <row r="1123" spans="1:25" ht="54">
      <c r="A1123" s="296"/>
      <c r="B1123" s="297"/>
      <c r="C1123" s="296"/>
      <c r="D1123" s="291"/>
      <c r="E1123" s="28" t="s">
        <v>635</v>
      </c>
      <c r="F1123" s="28"/>
      <c r="G1123" s="28"/>
      <c r="H1123" s="28"/>
      <c r="I1123" s="226">
        <v>3110</v>
      </c>
      <c r="J1123" s="54">
        <v>45000</v>
      </c>
      <c r="K1123" s="29"/>
      <c r="L1123" s="29"/>
      <c r="M1123" s="29"/>
      <c r="N1123" s="29">
        <v>24000</v>
      </c>
      <c r="O1123" s="29"/>
      <c r="P1123" s="29"/>
      <c r="Q1123" s="29">
        <v>21000</v>
      </c>
      <c r="R1123" s="29"/>
      <c r="S1123" s="29"/>
      <c r="T1123" s="29"/>
      <c r="U1123" s="29"/>
      <c r="V1123" s="29"/>
      <c r="W1123" s="29">
        <f t="shared" si="140"/>
        <v>0</v>
      </c>
      <c r="X1123" s="29"/>
      <c r="Y1123" s="29">
        <f t="shared" si="138"/>
        <v>45000</v>
      </c>
    </row>
    <row r="1124" spans="1:25" ht="34.5">
      <c r="A1124" s="115">
        <v>7300000</v>
      </c>
      <c r="B1124" s="37"/>
      <c r="C1124" s="37"/>
      <c r="D1124" s="20" t="s">
        <v>389</v>
      </c>
      <c r="E1124" s="154"/>
      <c r="F1124" s="155"/>
      <c r="G1124" s="156"/>
      <c r="H1124" s="157"/>
      <c r="I1124" s="248"/>
      <c r="J1124" s="92">
        <f>J1125</f>
        <v>11528000</v>
      </c>
      <c r="K1124" s="92">
        <f aca="true" t="shared" si="145" ref="K1124:X1124">K1125</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8"/>
        <v>4244042.72</v>
      </c>
    </row>
    <row r="1125" spans="1:25" ht="34.5">
      <c r="A1125" s="115">
        <v>7310000</v>
      </c>
      <c r="B1125" s="37"/>
      <c r="C1125" s="37"/>
      <c r="D1125" s="20" t="s">
        <v>389</v>
      </c>
      <c r="E1125" s="154"/>
      <c r="F1125" s="155"/>
      <c r="G1125" s="156"/>
      <c r="H1125" s="157"/>
      <c r="I1125" s="248"/>
      <c r="J1125" s="92">
        <f>J1126+J1131+J1133+J1141</f>
        <v>11528000</v>
      </c>
      <c r="K1125" s="92">
        <f aca="true" t="shared" si="146" ref="K1125:X1125">K1126+K1131+K1133+K1141</f>
        <v>0</v>
      </c>
      <c r="L1125" s="92">
        <f t="shared" si="146"/>
        <v>0</v>
      </c>
      <c r="M1125" s="92">
        <f t="shared" si="146"/>
        <v>2368000</v>
      </c>
      <c r="N1125" s="92">
        <f t="shared" si="146"/>
        <v>250000</v>
      </c>
      <c r="O1125" s="92">
        <f t="shared" si="146"/>
        <v>350000</v>
      </c>
      <c r="P1125" s="92">
        <f t="shared" si="146"/>
        <v>260000</v>
      </c>
      <c r="Q1125" s="92">
        <f t="shared" si="146"/>
        <v>1250000</v>
      </c>
      <c r="R1125" s="92">
        <f t="shared" si="146"/>
        <v>850000</v>
      </c>
      <c r="S1125" s="92">
        <f t="shared" si="146"/>
        <v>1000000</v>
      </c>
      <c r="T1125" s="92">
        <f t="shared" si="146"/>
        <v>1300000</v>
      </c>
      <c r="U1125" s="92">
        <f t="shared" si="146"/>
        <v>2000000</v>
      </c>
      <c r="V1125" s="92">
        <f t="shared" si="146"/>
        <v>1900000</v>
      </c>
      <c r="W1125" s="92">
        <f t="shared" si="146"/>
        <v>0</v>
      </c>
      <c r="X1125" s="92">
        <f t="shared" si="146"/>
        <v>1083957.28</v>
      </c>
      <c r="Y1125" s="29">
        <f t="shared" si="138"/>
        <v>4244042.72</v>
      </c>
    </row>
    <row r="1126" spans="1:25" ht="18">
      <c r="A1126" s="293" t="s">
        <v>873</v>
      </c>
      <c r="B1126" s="293" t="s">
        <v>815</v>
      </c>
      <c r="C1126" s="307" t="s">
        <v>814</v>
      </c>
      <c r="D1126" s="278" t="s">
        <v>1012</v>
      </c>
      <c r="E1126" s="24"/>
      <c r="F1126" s="24"/>
      <c r="G1126" s="24"/>
      <c r="H1126" s="24"/>
      <c r="I1126" s="223"/>
      <c r="J1126" s="95">
        <f>SUM(J1127:J1130)</f>
        <v>385000</v>
      </c>
      <c r="K1126" s="95">
        <f aca="true" t="shared" si="147" ref="K1126:X1126">SUM(K1127:K1130)</f>
        <v>0</v>
      </c>
      <c r="L1126" s="95">
        <f t="shared" si="147"/>
        <v>0</v>
      </c>
      <c r="M1126" s="95">
        <f t="shared" si="147"/>
        <v>385000</v>
      </c>
      <c r="N1126" s="95">
        <f t="shared" si="147"/>
        <v>0</v>
      </c>
      <c r="O1126" s="95">
        <f t="shared" si="147"/>
        <v>0</v>
      </c>
      <c r="P1126" s="95">
        <f t="shared" si="147"/>
        <v>0</v>
      </c>
      <c r="Q1126" s="95">
        <f t="shared" si="147"/>
        <v>0</v>
      </c>
      <c r="R1126" s="95">
        <f t="shared" si="147"/>
        <v>0</v>
      </c>
      <c r="S1126" s="95">
        <f t="shared" si="147"/>
        <v>0</v>
      </c>
      <c r="T1126" s="95">
        <f t="shared" si="147"/>
        <v>0</v>
      </c>
      <c r="U1126" s="95">
        <f t="shared" si="147"/>
        <v>0</v>
      </c>
      <c r="V1126" s="95">
        <f t="shared" si="147"/>
        <v>0</v>
      </c>
      <c r="W1126" s="95">
        <f t="shared" si="147"/>
        <v>0</v>
      </c>
      <c r="X1126" s="95">
        <f t="shared" si="147"/>
        <v>138324.78</v>
      </c>
      <c r="Y1126" s="29">
        <f t="shared" si="138"/>
        <v>246675.22</v>
      </c>
    </row>
    <row r="1127" spans="1:25" ht="36">
      <c r="A1127" s="299"/>
      <c r="B1127" s="299"/>
      <c r="C1127" s="308"/>
      <c r="D1127" s="279"/>
      <c r="E1127" s="24" t="s">
        <v>517</v>
      </c>
      <c r="F1127" s="24"/>
      <c r="G1127" s="24"/>
      <c r="H1127" s="24"/>
      <c r="I1127" s="223">
        <v>3110</v>
      </c>
      <c r="J1127" s="93">
        <v>200000</v>
      </c>
      <c r="K1127" s="29"/>
      <c r="L1127" s="29"/>
      <c r="M1127" s="29">
        <v>200000</v>
      </c>
      <c r="N1127" s="29"/>
      <c r="O1127" s="29"/>
      <c r="P1127" s="29"/>
      <c r="Q1127" s="29"/>
      <c r="R1127" s="29"/>
      <c r="S1127" s="29"/>
      <c r="T1127" s="29"/>
      <c r="U1127" s="29"/>
      <c r="V1127" s="29"/>
      <c r="W1127" s="29">
        <f t="shared" si="140"/>
        <v>0</v>
      </c>
      <c r="X1127" s="29"/>
      <c r="Y1127" s="29">
        <f t="shared" si="138"/>
        <v>200000</v>
      </c>
    </row>
    <row r="1128" spans="1:25" ht="36">
      <c r="A1128" s="299"/>
      <c r="B1128" s="299"/>
      <c r="C1128" s="308"/>
      <c r="D1128" s="279"/>
      <c r="E1128" s="24" t="s">
        <v>636</v>
      </c>
      <c r="F1128" s="24"/>
      <c r="G1128" s="24"/>
      <c r="H1128" s="24"/>
      <c r="I1128" s="223">
        <v>3110</v>
      </c>
      <c r="J1128" s="93">
        <v>65000</v>
      </c>
      <c r="K1128" s="29"/>
      <c r="L1128" s="29"/>
      <c r="M1128" s="29">
        <v>65000</v>
      </c>
      <c r="N1128" s="29"/>
      <c r="O1128" s="29"/>
      <c r="P1128" s="29"/>
      <c r="Q1128" s="29"/>
      <c r="R1128" s="29"/>
      <c r="S1128" s="29"/>
      <c r="T1128" s="29"/>
      <c r="U1128" s="29"/>
      <c r="V1128" s="29"/>
      <c r="W1128" s="29">
        <f t="shared" si="140"/>
        <v>0</v>
      </c>
      <c r="X1128" s="29">
        <f>19500</f>
        <v>19500</v>
      </c>
      <c r="Y1128" s="29">
        <f t="shared" si="138"/>
        <v>45500</v>
      </c>
    </row>
    <row r="1129" spans="1:25" ht="18">
      <c r="A1129" s="299"/>
      <c r="B1129" s="299"/>
      <c r="C1129" s="308"/>
      <c r="D1129" s="279"/>
      <c r="E1129" s="24" t="s">
        <v>637</v>
      </c>
      <c r="F1129" s="24"/>
      <c r="G1129" s="24"/>
      <c r="H1129" s="24"/>
      <c r="I1129" s="223">
        <v>3110</v>
      </c>
      <c r="J1129" s="93">
        <v>40000</v>
      </c>
      <c r="K1129" s="29"/>
      <c r="L1129" s="29"/>
      <c r="M1129" s="29">
        <v>40000</v>
      </c>
      <c r="N1129" s="29"/>
      <c r="O1129" s="29"/>
      <c r="P1129" s="29"/>
      <c r="Q1129" s="29"/>
      <c r="R1129" s="29"/>
      <c r="S1129" s="29"/>
      <c r="T1129" s="29"/>
      <c r="U1129" s="29"/>
      <c r="V1129" s="29"/>
      <c r="W1129" s="29">
        <f t="shared" si="140"/>
        <v>0</v>
      </c>
      <c r="X1129" s="29">
        <v>39900</v>
      </c>
      <c r="Y1129" s="29">
        <f t="shared" si="138"/>
        <v>100</v>
      </c>
    </row>
    <row r="1130" spans="1:25" ht="36">
      <c r="A1130" s="299"/>
      <c r="B1130" s="294"/>
      <c r="C1130" s="308"/>
      <c r="D1130" s="279"/>
      <c r="E1130" s="24" t="s">
        <v>638</v>
      </c>
      <c r="F1130" s="24"/>
      <c r="G1130" s="24"/>
      <c r="H1130" s="24"/>
      <c r="I1130" s="223">
        <v>3110</v>
      </c>
      <c r="J1130" s="93">
        <v>80000</v>
      </c>
      <c r="K1130" s="29"/>
      <c r="L1130" s="29"/>
      <c r="M1130" s="29">
        <v>80000</v>
      </c>
      <c r="N1130" s="29"/>
      <c r="O1130" s="29"/>
      <c r="P1130" s="29"/>
      <c r="Q1130" s="29"/>
      <c r="R1130" s="29"/>
      <c r="S1130" s="29"/>
      <c r="T1130" s="29"/>
      <c r="U1130" s="29"/>
      <c r="V1130" s="29"/>
      <c r="W1130" s="29">
        <f t="shared" si="140"/>
        <v>0</v>
      </c>
      <c r="X1130" s="29">
        <v>78924.78</v>
      </c>
      <c r="Y1130" s="29">
        <f t="shared" si="138"/>
        <v>1075.2200000000012</v>
      </c>
    </row>
    <row r="1131" spans="1:25" ht="18">
      <c r="A1131" s="293" t="s">
        <v>1097</v>
      </c>
      <c r="B1131" s="293" t="s">
        <v>760</v>
      </c>
      <c r="C1131" s="307" t="s">
        <v>280</v>
      </c>
      <c r="D1131" s="278" t="s">
        <v>1156</v>
      </c>
      <c r="E1131" s="24"/>
      <c r="F1131" s="24"/>
      <c r="G1131" s="24"/>
      <c r="H1131" s="24"/>
      <c r="I1131" s="223"/>
      <c r="J1131" s="95">
        <f>J1132</f>
        <v>320000</v>
      </c>
      <c r="K1131" s="95">
        <f aca="true" t="shared" si="148" ref="K1131:X1131">K1132</f>
        <v>0</v>
      </c>
      <c r="L1131" s="95">
        <f t="shared" si="148"/>
        <v>0</v>
      </c>
      <c r="M1131" s="95">
        <f t="shared" si="148"/>
        <v>0</v>
      </c>
      <c r="N1131" s="95">
        <f t="shared" si="148"/>
        <v>0</v>
      </c>
      <c r="O1131" s="95">
        <f t="shared" si="148"/>
        <v>0</v>
      </c>
      <c r="P1131" s="95">
        <f t="shared" si="148"/>
        <v>60000</v>
      </c>
      <c r="Q1131" s="95">
        <f t="shared" si="148"/>
        <v>0</v>
      </c>
      <c r="R1131" s="95">
        <f t="shared" si="148"/>
        <v>90000</v>
      </c>
      <c r="S1131" s="95">
        <f t="shared" si="148"/>
        <v>170000</v>
      </c>
      <c r="T1131" s="95">
        <f t="shared" si="148"/>
        <v>0</v>
      </c>
      <c r="U1131" s="95">
        <f t="shared" si="148"/>
        <v>0</v>
      </c>
      <c r="V1131" s="95">
        <f t="shared" si="148"/>
        <v>0</v>
      </c>
      <c r="W1131" s="95">
        <f t="shared" si="148"/>
        <v>0</v>
      </c>
      <c r="X1131" s="95">
        <f t="shared" si="148"/>
        <v>53290.69</v>
      </c>
      <c r="Y1131" s="29">
        <f t="shared" si="138"/>
        <v>96709.31</v>
      </c>
    </row>
    <row r="1132" spans="1:25" ht="84" customHeight="1">
      <c r="A1132" s="294"/>
      <c r="B1132" s="294"/>
      <c r="C1132" s="309"/>
      <c r="D1132" s="292"/>
      <c r="E1132" s="24" t="s">
        <v>639</v>
      </c>
      <c r="F1132" s="135">
        <f>J1132</f>
        <v>320000</v>
      </c>
      <c r="G1132" s="134">
        <v>1</v>
      </c>
      <c r="H1132" s="135">
        <f>J1132</f>
        <v>320000</v>
      </c>
      <c r="I1132" s="234">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40"/>
        <v>0</v>
      </c>
      <c r="X1132" s="29">
        <f>53290.69</f>
        <v>53290.69</v>
      </c>
      <c r="Y1132" s="29">
        <f t="shared" si="138"/>
        <v>96709.31</v>
      </c>
    </row>
    <row r="1133" spans="1:25" ht="18">
      <c r="A1133" s="289" t="s">
        <v>1098</v>
      </c>
      <c r="B1133" s="289" t="s">
        <v>80</v>
      </c>
      <c r="C1133" s="293" t="s">
        <v>280</v>
      </c>
      <c r="D1133" s="278" t="s">
        <v>758</v>
      </c>
      <c r="E1133" s="24"/>
      <c r="F1133" s="24"/>
      <c r="G1133" s="24"/>
      <c r="H1133" s="24"/>
      <c r="I1133" s="223"/>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38"/>
        <v>2210000</v>
      </c>
    </row>
    <row r="1134" spans="1:25" ht="41.25" customHeight="1">
      <c r="A1134" s="290"/>
      <c r="B1134" s="290"/>
      <c r="C1134" s="299"/>
      <c r="D1134" s="279"/>
      <c r="E1134" s="30" t="s">
        <v>640</v>
      </c>
      <c r="F1134" s="30"/>
      <c r="G1134" s="30"/>
      <c r="H1134" s="30"/>
      <c r="I1134" s="227"/>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38"/>
        <v>2210000</v>
      </c>
    </row>
    <row r="1135" spans="1:25" ht="54">
      <c r="A1135" s="290"/>
      <c r="B1135" s="290"/>
      <c r="C1135" s="299"/>
      <c r="D1135" s="279"/>
      <c r="E1135" s="24" t="s">
        <v>23</v>
      </c>
      <c r="F1135" s="24"/>
      <c r="G1135" s="24"/>
      <c r="H1135" s="24"/>
      <c r="I1135" s="223">
        <v>3210</v>
      </c>
      <c r="J1135" s="93">
        <v>2755000</v>
      </c>
      <c r="K1135" s="29"/>
      <c r="L1135" s="29"/>
      <c r="M1135" s="29"/>
      <c r="N1135" s="29"/>
      <c r="O1135" s="29"/>
      <c r="P1135" s="29"/>
      <c r="Q1135" s="29">
        <v>460000</v>
      </c>
      <c r="R1135" s="29">
        <v>500000</v>
      </c>
      <c r="S1135" s="29">
        <v>500000</v>
      </c>
      <c r="T1135" s="29"/>
      <c r="U1135" s="29"/>
      <c r="V1135" s="29">
        <v>1295000</v>
      </c>
      <c r="W1135" s="29">
        <f t="shared" si="140"/>
        <v>0</v>
      </c>
      <c r="X1135" s="29"/>
      <c r="Y1135" s="29">
        <f t="shared" si="138"/>
        <v>960000</v>
      </c>
    </row>
    <row r="1136" spans="1:25" ht="36">
      <c r="A1136" s="290"/>
      <c r="B1136" s="290"/>
      <c r="C1136" s="299"/>
      <c r="D1136" s="279"/>
      <c r="E1136" s="24" t="s">
        <v>953</v>
      </c>
      <c r="F1136" s="24"/>
      <c r="G1136" s="24"/>
      <c r="H1136" s="24"/>
      <c r="I1136" s="223">
        <v>3210</v>
      </c>
      <c r="J1136" s="93">
        <v>140000</v>
      </c>
      <c r="K1136" s="29"/>
      <c r="L1136" s="29"/>
      <c r="M1136" s="29">
        <v>140000</v>
      </c>
      <c r="N1136" s="29"/>
      <c r="O1136" s="29"/>
      <c r="P1136" s="29"/>
      <c r="Q1136" s="29"/>
      <c r="R1136" s="29"/>
      <c r="S1136" s="29"/>
      <c r="T1136" s="29"/>
      <c r="U1136" s="29"/>
      <c r="V1136" s="29"/>
      <c r="W1136" s="29">
        <f t="shared" si="140"/>
        <v>0</v>
      </c>
      <c r="X1136" s="29"/>
      <c r="Y1136" s="29">
        <f t="shared" si="138"/>
        <v>140000</v>
      </c>
    </row>
    <row r="1137" spans="1:25" ht="18">
      <c r="A1137" s="290"/>
      <c r="B1137" s="290"/>
      <c r="C1137" s="299"/>
      <c r="D1137" s="279"/>
      <c r="E1137" s="24" t="s">
        <v>882</v>
      </c>
      <c r="F1137" s="24"/>
      <c r="G1137" s="24"/>
      <c r="H1137" s="24"/>
      <c r="I1137" s="223">
        <v>3210</v>
      </c>
      <c r="J1137" s="93">
        <v>150000</v>
      </c>
      <c r="K1137" s="29"/>
      <c r="L1137" s="29"/>
      <c r="M1137" s="29">
        <v>150000</v>
      </c>
      <c r="N1137" s="29"/>
      <c r="O1137" s="29"/>
      <c r="P1137" s="29"/>
      <c r="Q1137" s="29"/>
      <c r="R1137" s="29"/>
      <c r="S1137" s="29"/>
      <c r="T1137" s="29"/>
      <c r="U1137" s="29"/>
      <c r="V1137" s="29"/>
      <c r="W1137" s="29">
        <f t="shared" si="140"/>
        <v>0</v>
      </c>
      <c r="X1137" s="29"/>
      <c r="Y1137" s="29">
        <f t="shared" si="138"/>
        <v>150000</v>
      </c>
    </row>
    <row r="1138" spans="1:25" ht="64.5" customHeight="1">
      <c r="A1138" s="290"/>
      <c r="B1138" s="290"/>
      <c r="C1138" s="299"/>
      <c r="D1138" s="279"/>
      <c r="E1138" s="24" t="s">
        <v>101</v>
      </c>
      <c r="F1138" s="24"/>
      <c r="G1138" s="24"/>
      <c r="H1138" s="24"/>
      <c r="I1138" s="223">
        <v>3210</v>
      </c>
      <c r="J1138" s="94">
        <v>1728000</v>
      </c>
      <c r="K1138" s="29"/>
      <c r="L1138" s="29"/>
      <c r="M1138" s="29"/>
      <c r="N1138" s="29"/>
      <c r="O1138" s="29"/>
      <c r="P1138" s="29"/>
      <c r="Q1138" s="29">
        <v>460000</v>
      </c>
      <c r="R1138" s="29"/>
      <c r="S1138" s="29">
        <v>330000</v>
      </c>
      <c r="T1138" s="29">
        <v>500000</v>
      </c>
      <c r="U1138" s="29">
        <v>233000</v>
      </c>
      <c r="V1138" s="29">
        <v>205000</v>
      </c>
      <c r="W1138" s="29">
        <f t="shared" si="140"/>
        <v>0</v>
      </c>
      <c r="X1138" s="29"/>
      <c r="Y1138" s="29">
        <f t="shared" si="138"/>
        <v>460000</v>
      </c>
    </row>
    <row r="1139" spans="1:25" ht="36">
      <c r="A1139" s="290"/>
      <c r="B1139" s="290"/>
      <c r="C1139" s="299"/>
      <c r="D1139" s="279"/>
      <c r="E1139" s="24" t="s">
        <v>883</v>
      </c>
      <c r="F1139" s="24"/>
      <c r="G1139" s="24"/>
      <c r="H1139" s="24"/>
      <c r="I1139" s="223">
        <v>3210</v>
      </c>
      <c r="J1139" s="93">
        <v>750000</v>
      </c>
      <c r="K1139" s="29"/>
      <c r="L1139" s="29"/>
      <c r="M1139" s="29">
        <v>400000</v>
      </c>
      <c r="N1139" s="29"/>
      <c r="O1139" s="29"/>
      <c r="P1139" s="29"/>
      <c r="Q1139" s="29"/>
      <c r="R1139" s="29"/>
      <c r="S1139" s="29"/>
      <c r="T1139" s="29"/>
      <c r="U1139" s="29">
        <v>350000</v>
      </c>
      <c r="V1139" s="29"/>
      <c r="W1139" s="29">
        <f t="shared" si="140"/>
        <v>0</v>
      </c>
      <c r="X1139" s="29"/>
      <c r="Y1139" s="29">
        <f t="shared" si="138"/>
        <v>400000</v>
      </c>
    </row>
    <row r="1140" spans="1:25" ht="18">
      <c r="A1140" s="297"/>
      <c r="B1140" s="297"/>
      <c r="C1140" s="294"/>
      <c r="D1140" s="292"/>
      <c r="E1140" s="24" t="s">
        <v>884</v>
      </c>
      <c r="F1140" s="24"/>
      <c r="G1140" s="24"/>
      <c r="H1140" s="24"/>
      <c r="I1140" s="223">
        <v>3210</v>
      </c>
      <c r="J1140" s="93">
        <v>100000</v>
      </c>
      <c r="K1140" s="29"/>
      <c r="L1140" s="29"/>
      <c r="M1140" s="29">
        <v>100000</v>
      </c>
      <c r="N1140" s="29"/>
      <c r="O1140" s="29"/>
      <c r="P1140" s="29"/>
      <c r="Q1140" s="29"/>
      <c r="R1140" s="29"/>
      <c r="S1140" s="29"/>
      <c r="T1140" s="29"/>
      <c r="U1140" s="29"/>
      <c r="V1140" s="29"/>
      <c r="W1140" s="29">
        <f t="shared" si="140"/>
        <v>0</v>
      </c>
      <c r="X1140" s="29"/>
      <c r="Y1140" s="29">
        <f t="shared" si="138"/>
        <v>100000</v>
      </c>
    </row>
    <row r="1141" spans="1:25" ht="18">
      <c r="A1141" s="296" t="s">
        <v>1068</v>
      </c>
      <c r="B1141" s="289" t="s">
        <v>1120</v>
      </c>
      <c r="C1141" s="296" t="s">
        <v>816</v>
      </c>
      <c r="D1141" s="291" t="s">
        <v>817</v>
      </c>
      <c r="E1141" s="24"/>
      <c r="F1141" s="24"/>
      <c r="G1141" s="24"/>
      <c r="H1141" s="24"/>
      <c r="I1141" s="223"/>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38"/>
        <v>1690658.19</v>
      </c>
    </row>
    <row r="1142" spans="1:25" ht="120.75" customHeight="1">
      <c r="A1142" s="296"/>
      <c r="B1142" s="290"/>
      <c r="C1142" s="296"/>
      <c r="D1142" s="291"/>
      <c r="E1142" s="24" t="s">
        <v>885</v>
      </c>
      <c r="F1142" s="135">
        <f>J1142</f>
        <v>200000</v>
      </c>
      <c r="G1142" s="134">
        <v>1</v>
      </c>
      <c r="H1142" s="135">
        <f aca="true" t="shared" si="152" ref="H1142:H1156">J1142</f>
        <v>200000</v>
      </c>
      <c r="I1142" s="234">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40"/>
        <v>0</v>
      </c>
      <c r="X1142" s="29"/>
      <c r="Y1142" s="29">
        <f t="shared" si="138"/>
        <v>0</v>
      </c>
    </row>
    <row r="1143" spans="1:25" ht="54">
      <c r="A1143" s="296"/>
      <c r="B1143" s="290"/>
      <c r="C1143" s="296"/>
      <c r="D1143" s="291"/>
      <c r="E1143" s="65" t="s">
        <v>160</v>
      </c>
      <c r="F1143" s="135">
        <f aca="true" t="shared" si="153" ref="F1143:F1156">J1143</f>
        <v>400000</v>
      </c>
      <c r="G1143" s="134">
        <v>1</v>
      </c>
      <c r="H1143" s="135">
        <f t="shared" si="152"/>
        <v>400000</v>
      </c>
      <c r="I1143" s="234">
        <v>3132</v>
      </c>
      <c r="J1143" s="54">
        <v>400000</v>
      </c>
      <c r="K1143" s="29"/>
      <c r="L1143" s="29"/>
      <c r="M1143" s="29"/>
      <c r="N1143" s="29"/>
      <c r="O1143" s="29"/>
      <c r="P1143" s="29"/>
      <c r="Q1143" s="29">
        <v>249000</v>
      </c>
      <c r="R1143" s="29"/>
      <c r="S1143" s="29"/>
      <c r="T1143" s="29"/>
      <c r="U1143" s="29">
        <f>200000-200000</f>
        <v>0</v>
      </c>
      <c r="V1143" s="29">
        <f>200000-49000</f>
        <v>151000</v>
      </c>
      <c r="W1143" s="29">
        <f t="shared" si="140"/>
        <v>0</v>
      </c>
      <c r="X1143" s="29">
        <f>74424.9</f>
        <v>74424.9</v>
      </c>
      <c r="Y1143" s="29">
        <f t="shared" si="138"/>
        <v>174575.1</v>
      </c>
    </row>
    <row r="1144" spans="1:25" ht="54">
      <c r="A1144" s="296"/>
      <c r="B1144" s="290"/>
      <c r="C1144" s="296"/>
      <c r="D1144" s="291"/>
      <c r="E1144" s="24" t="s">
        <v>161</v>
      </c>
      <c r="F1144" s="135">
        <f t="shared" si="153"/>
        <v>500000</v>
      </c>
      <c r="G1144" s="134">
        <v>1</v>
      </c>
      <c r="H1144" s="135">
        <f t="shared" si="152"/>
        <v>500000</v>
      </c>
      <c r="I1144" s="234">
        <v>3132</v>
      </c>
      <c r="J1144" s="93">
        <v>500000</v>
      </c>
      <c r="K1144" s="29"/>
      <c r="L1144" s="29"/>
      <c r="M1144" s="29">
        <v>500000</v>
      </c>
      <c r="N1144" s="29"/>
      <c r="O1144" s="29"/>
      <c r="P1144" s="29">
        <v>-232000</v>
      </c>
      <c r="Q1144" s="29"/>
      <c r="R1144" s="29">
        <v>50000</v>
      </c>
      <c r="S1144" s="29"/>
      <c r="T1144" s="29">
        <v>182000</v>
      </c>
      <c r="U1144" s="29"/>
      <c r="V1144" s="29"/>
      <c r="W1144" s="29">
        <f t="shared" si="140"/>
        <v>0</v>
      </c>
      <c r="X1144" s="29">
        <v>3000</v>
      </c>
      <c r="Y1144" s="29">
        <f t="shared" si="138"/>
        <v>315000</v>
      </c>
    </row>
    <row r="1145" spans="1:25" ht="36">
      <c r="A1145" s="296"/>
      <c r="B1145" s="290"/>
      <c r="C1145" s="296"/>
      <c r="D1145" s="291"/>
      <c r="E1145" s="24" t="s">
        <v>215</v>
      </c>
      <c r="F1145" s="135">
        <f t="shared" si="153"/>
        <v>900000</v>
      </c>
      <c r="G1145" s="134">
        <v>1</v>
      </c>
      <c r="H1145" s="135">
        <f t="shared" si="152"/>
        <v>900000</v>
      </c>
      <c r="I1145" s="234">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40"/>
        <v>0</v>
      </c>
      <c r="X1145" s="29"/>
      <c r="Y1145" s="29">
        <f t="shared" si="138"/>
        <v>91000</v>
      </c>
    </row>
    <row r="1146" spans="1:25" ht="36">
      <c r="A1146" s="296"/>
      <c r="B1146" s="290"/>
      <c r="C1146" s="296"/>
      <c r="D1146" s="291"/>
      <c r="E1146" s="24" t="s">
        <v>163</v>
      </c>
      <c r="F1146" s="135">
        <f t="shared" si="153"/>
        <v>550000</v>
      </c>
      <c r="G1146" s="134">
        <v>1</v>
      </c>
      <c r="H1146" s="135">
        <f t="shared" si="152"/>
        <v>550000</v>
      </c>
      <c r="I1146" s="234">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40"/>
        <v>0</v>
      </c>
      <c r="X1146" s="29"/>
      <c r="Y1146" s="29">
        <f t="shared" si="138"/>
        <v>530000</v>
      </c>
    </row>
    <row r="1147" spans="1:25" ht="54">
      <c r="A1147" s="296"/>
      <c r="B1147" s="290"/>
      <c r="C1147" s="296"/>
      <c r="D1147" s="291"/>
      <c r="E1147" s="24" t="s">
        <v>877</v>
      </c>
      <c r="F1147" s="135">
        <f t="shared" si="153"/>
        <v>500000</v>
      </c>
      <c r="G1147" s="134">
        <v>1</v>
      </c>
      <c r="H1147" s="135">
        <f t="shared" si="152"/>
        <v>500000</v>
      </c>
      <c r="I1147" s="234">
        <v>3132</v>
      </c>
      <c r="J1147" s="93">
        <v>500000</v>
      </c>
      <c r="K1147" s="29"/>
      <c r="L1147" s="29"/>
      <c r="M1147" s="29">
        <v>193000</v>
      </c>
      <c r="N1147" s="29"/>
      <c r="O1147" s="29"/>
      <c r="P1147" s="29">
        <v>-193000</v>
      </c>
      <c r="Q1147" s="29"/>
      <c r="R1147" s="29"/>
      <c r="S1147" s="29"/>
      <c r="T1147" s="29">
        <v>193000</v>
      </c>
      <c r="U1147" s="29">
        <v>307000</v>
      </c>
      <c r="V1147" s="29"/>
      <c r="W1147" s="29">
        <f t="shared" si="140"/>
        <v>0</v>
      </c>
      <c r="X1147" s="29"/>
      <c r="Y1147" s="29">
        <f t="shared" si="138"/>
        <v>0</v>
      </c>
    </row>
    <row r="1148" spans="1:25" ht="36">
      <c r="A1148" s="296"/>
      <c r="B1148" s="290"/>
      <c r="C1148" s="296"/>
      <c r="D1148" s="291"/>
      <c r="E1148" s="24" t="s">
        <v>878</v>
      </c>
      <c r="F1148" s="135">
        <f t="shared" si="153"/>
        <v>100000</v>
      </c>
      <c r="G1148" s="134">
        <v>1</v>
      </c>
      <c r="H1148" s="135">
        <f t="shared" si="152"/>
        <v>100000</v>
      </c>
      <c r="I1148" s="234">
        <v>3132</v>
      </c>
      <c r="J1148" s="93">
        <v>100000</v>
      </c>
      <c r="K1148" s="29"/>
      <c r="L1148" s="29"/>
      <c r="M1148" s="29"/>
      <c r="N1148" s="29"/>
      <c r="O1148" s="29"/>
      <c r="P1148" s="29"/>
      <c r="Q1148" s="29">
        <v>100000</v>
      </c>
      <c r="R1148" s="29"/>
      <c r="S1148" s="29"/>
      <c r="T1148" s="29"/>
      <c r="U1148" s="29"/>
      <c r="V1148" s="29"/>
      <c r="W1148" s="29">
        <f t="shared" si="140"/>
        <v>0</v>
      </c>
      <c r="X1148" s="29"/>
      <c r="Y1148" s="29">
        <f t="shared" si="138"/>
        <v>100000</v>
      </c>
    </row>
    <row r="1149" spans="1:25" ht="36">
      <c r="A1149" s="296"/>
      <c r="B1149" s="290"/>
      <c r="C1149" s="296"/>
      <c r="D1149" s="291"/>
      <c r="E1149" s="24" t="s">
        <v>122</v>
      </c>
      <c r="F1149" s="135">
        <f t="shared" si="153"/>
        <v>650000</v>
      </c>
      <c r="G1149" s="134">
        <v>1</v>
      </c>
      <c r="H1149" s="135">
        <f t="shared" si="152"/>
        <v>650000</v>
      </c>
      <c r="I1149" s="234">
        <v>3132</v>
      </c>
      <c r="J1149" s="93">
        <v>650000</v>
      </c>
      <c r="K1149" s="29"/>
      <c r="L1149" s="29"/>
      <c r="M1149" s="29"/>
      <c r="N1149" s="29"/>
      <c r="O1149" s="29"/>
      <c r="P1149" s="29">
        <v>235000</v>
      </c>
      <c r="Q1149" s="29"/>
      <c r="R1149" s="29"/>
      <c r="S1149" s="29"/>
      <c r="T1149" s="29">
        <f>300000-235000</f>
        <v>65000</v>
      </c>
      <c r="U1149" s="29">
        <v>350000</v>
      </c>
      <c r="V1149" s="29"/>
      <c r="W1149" s="29">
        <f t="shared" si="140"/>
        <v>0</v>
      </c>
      <c r="X1149" s="29">
        <f>1231.2+225767.4</f>
        <v>226998.6</v>
      </c>
      <c r="Y1149" s="29">
        <f t="shared" si="138"/>
        <v>8001.399999999994</v>
      </c>
    </row>
    <row r="1150" spans="1:25" ht="54">
      <c r="A1150" s="296"/>
      <c r="B1150" s="290"/>
      <c r="C1150" s="296"/>
      <c r="D1150" s="291"/>
      <c r="E1150" s="24" t="s">
        <v>123</v>
      </c>
      <c r="F1150" s="135">
        <f t="shared" si="153"/>
        <v>400000</v>
      </c>
      <c r="G1150" s="134">
        <v>1</v>
      </c>
      <c r="H1150" s="135">
        <f t="shared" si="152"/>
        <v>400000</v>
      </c>
      <c r="I1150" s="234">
        <v>3132</v>
      </c>
      <c r="J1150" s="93">
        <f>500000-100000</f>
        <v>400000</v>
      </c>
      <c r="K1150" s="29"/>
      <c r="L1150" s="29"/>
      <c r="M1150" s="29"/>
      <c r="N1150" s="29"/>
      <c r="O1150" s="29"/>
      <c r="P1150" s="29">
        <v>260000</v>
      </c>
      <c r="Q1150" s="29">
        <v>100000</v>
      </c>
      <c r="R1150" s="29"/>
      <c r="S1150" s="29"/>
      <c r="T1150" s="29">
        <f>140000-100000</f>
        <v>40000</v>
      </c>
      <c r="U1150" s="29"/>
      <c r="V1150" s="29"/>
      <c r="W1150" s="29">
        <f t="shared" si="140"/>
        <v>0</v>
      </c>
      <c r="X1150" s="29"/>
      <c r="Y1150" s="29">
        <f t="shared" si="138"/>
        <v>360000</v>
      </c>
    </row>
    <row r="1151" spans="1:25" ht="60.75" customHeight="1">
      <c r="A1151" s="296"/>
      <c r="B1151" s="290"/>
      <c r="C1151" s="296"/>
      <c r="D1151" s="291"/>
      <c r="E1151" s="24" t="s">
        <v>373</v>
      </c>
      <c r="F1151" s="135">
        <f t="shared" si="153"/>
        <v>100000</v>
      </c>
      <c r="G1151" s="134">
        <v>1</v>
      </c>
      <c r="H1151" s="135">
        <f t="shared" si="152"/>
        <v>100000</v>
      </c>
      <c r="I1151" s="234">
        <v>3132</v>
      </c>
      <c r="J1151" s="93">
        <v>100000</v>
      </c>
      <c r="K1151" s="29"/>
      <c r="L1151" s="29"/>
      <c r="M1151" s="29"/>
      <c r="N1151" s="29"/>
      <c r="O1151" s="29"/>
      <c r="P1151" s="29">
        <v>50000</v>
      </c>
      <c r="Q1151" s="29">
        <v>50000</v>
      </c>
      <c r="R1151" s="29">
        <f>100000-50000-50000</f>
        <v>0</v>
      </c>
      <c r="S1151" s="29"/>
      <c r="T1151" s="29"/>
      <c r="U1151" s="29"/>
      <c r="V1151" s="29"/>
      <c r="W1151" s="29">
        <f t="shared" si="140"/>
        <v>0</v>
      </c>
      <c r="X1151" s="29">
        <f>49099.18+50900.81</f>
        <v>99999.98999999999</v>
      </c>
      <c r="Y1151" s="29">
        <f t="shared" si="138"/>
        <v>0.010000000009313226</v>
      </c>
    </row>
    <row r="1152" spans="1:25" ht="54">
      <c r="A1152" s="296"/>
      <c r="B1152" s="290"/>
      <c r="C1152" s="296"/>
      <c r="D1152" s="291"/>
      <c r="E1152" s="24" t="s">
        <v>374</v>
      </c>
      <c r="F1152" s="135">
        <f t="shared" si="153"/>
        <v>400000</v>
      </c>
      <c r="G1152" s="134">
        <v>1</v>
      </c>
      <c r="H1152" s="135">
        <f t="shared" si="152"/>
        <v>400000</v>
      </c>
      <c r="I1152" s="234">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40"/>
        <v>0</v>
      </c>
      <c r="X1152" s="29">
        <f>2380.32+206550.4</f>
        <v>208930.72</v>
      </c>
      <c r="Y1152" s="29">
        <f t="shared" si="138"/>
        <v>1069.2799999999988</v>
      </c>
    </row>
    <row r="1153" spans="1:25" ht="54">
      <c r="A1153" s="296"/>
      <c r="B1153" s="290"/>
      <c r="C1153" s="296"/>
      <c r="D1153" s="291"/>
      <c r="E1153" s="24" t="s">
        <v>375</v>
      </c>
      <c r="F1153" s="135">
        <f t="shared" si="153"/>
        <v>80000</v>
      </c>
      <c r="G1153" s="134">
        <v>1</v>
      </c>
      <c r="H1153" s="135">
        <f t="shared" si="152"/>
        <v>80000</v>
      </c>
      <c r="I1153" s="234">
        <v>3132</v>
      </c>
      <c r="J1153" s="93">
        <v>80000</v>
      </c>
      <c r="K1153" s="29"/>
      <c r="L1153" s="29"/>
      <c r="M1153" s="29">
        <v>80000</v>
      </c>
      <c r="N1153" s="29"/>
      <c r="O1153" s="29"/>
      <c r="P1153" s="29">
        <v>-40000</v>
      </c>
      <c r="Q1153" s="29"/>
      <c r="R1153" s="29">
        <v>40000</v>
      </c>
      <c r="S1153" s="29"/>
      <c r="T1153" s="29"/>
      <c r="U1153" s="29"/>
      <c r="V1153" s="29"/>
      <c r="W1153" s="29">
        <f t="shared" si="140"/>
        <v>0</v>
      </c>
      <c r="X1153" s="29"/>
      <c r="Y1153" s="29">
        <f t="shared" si="138"/>
        <v>80000</v>
      </c>
    </row>
    <row r="1154" spans="1:25" ht="36">
      <c r="A1154" s="296"/>
      <c r="B1154" s="290"/>
      <c r="C1154" s="296"/>
      <c r="D1154" s="291"/>
      <c r="E1154" s="24" t="s">
        <v>1162</v>
      </c>
      <c r="F1154" s="135">
        <f t="shared" si="153"/>
        <v>200000</v>
      </c>
      <c r="G1154" s="134">
        <v>1</v>
      </c>
      <c r="H1154" s="135">
        <f t="shared" si="152"/>
        <v>200000</v>
      </c>
      <c r="I1154" s="234">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40"/>
        <v>0</v>
      </c>
      <c r="X1154" s="29">
        <f>38783.4+40204.2</f>
        <v>78987.6</v>
      </c>
      <c r="Y1154" s="29">
        <f t="shared" si="138"/>
        <v>11012.399999999994</v>
      </c>
    </row>
    <row r="1155" spans="1:25" ht="36">
      <c r="A1155" s="296"/>
      <c r="B1155" s="290"/>
      <c r="C1155" s="296"/>
      <c r="D1155" s="291"/>
      <c r="E1155" s="24" t="s">
        <v>1163</v>
      </c>
      <c r="F1155" s="135">
        <f t="shared" si="153"/>
        <v>200000</v>
      </c>
      <c r="G1155" s="134">
        <v>1</v>
      </c>
      <c r="H1155" s="135">
        <f t="shared" si="152"/>
        <v>200000</v>
      </c>
      <c r="I1155" s="234">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40"/>
        <v>0</v>
      </c>
      <c r="X1155" s="29">
        <f>98207.96+101792.04</f>
        <v>200000</v>
      </c>
      <c r="Y1155" s="29">
        <f t="shared" si="138"/>
        <v>0</v>
      </c>
    </row>
    <row r="1156" spans="1:25" ht="80.25" customHeight="1">
      <c r="A1156" s="296"/>
      <c r="B1156" s="297"/>
      <c r="C1156" s="296"/>
      <c r="D1156" s="291"/>
      <c r="E1156" s="24" t="s">
        <v>378</v>
      </c>
      <c r="F1156" s="135">
        <f t="shared" si="153"/>
        <v>20000</v>
      </c>
      <c r="G1156" s="134">
        <v>1</v>
      </c>
      <c r="H1156" s="135">
        <f t="shared" si="152"/>
        <v>20000</v>
      </c>
      <c r="I1156" s="234">
        <v>3132</v>
      </c>
      <c r="J1156" s="93">
        <v>20000</v>
      </c>
      <c r="K1156" s="29"/>
      <c r="L1156" s="29"/>
      <c r="M1156" s="29">
        <v>20000</v>
      </c>
      <c r="N1156" s="29"/>
      <c r="O1156" s="29"/>
      <c r="P1156" s="29">
        <v>-20000</v>
      </c>
      <c r="Q1156" s="29"/>
      <c r="R1156" s="29">
        <v>20000</v>
      </c>
      <c r="S1156" s="29"/>
      <c r="T1156" s="29"/>
      <c r="U1156" s="29"/>
      <c r="V1156" s="29"/>
      <c r="W1156" s="29">
        <f t="shared" si="140"/>
        <v>0</v>
      </c>
      <c r="X1156" s="29"/>
      <c r="Y1156" s="29">
        <f t="shared" si="138"/>
        <v>20000</v>
      </c>
    </row>
    <row r="1157" spans="1:25" ht="34.5">
      <c r="A1157" s="96" t="s">
        <v>278</v>
      </c>
      <c r="B1157" s="96"/>
      <c r="C1157" s="96"/>
      <c r="D1157" s="97" t="s">
        <v>392</v>
      </c>
      <c r="E1157" s="98"/>
      <c r="F1157" s="98"/>
      <c r="G1157" s="98"/>
      <c r="H1157" s="98"/>
      <c r="I1157" s="268"/>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29100</v>
      </c>
      <c r="Y1157" s="29">
        <f t="shared" si="138"/>
        <v>150900</v>
      </c>
    </row>
    <row r="1158" spans="1:25" ht="34.5">
      <c r="A1158" s="96" t="s">
        <v>279</v>
      </c>
      <c r="B1158" s="96"/>
      <c r="C1158" s="96"/>
      <c r="D1158" s="97" t="s">
        <v>392</v>
      </c>
      <c r="E1158" s="98"/>
      <c r="F1158" s="98"/>
      <c r="G1158" s="98"/>
      <c r="H1158" s="98"/>
      <c r="I1158" s="268"/>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29100</v>
      </c>
      <c r="Y1158" s="29">
        <f aca="true" t="shared" si="155" ref="Y1158:Y1182">K1158+L1158+M1158+N1158+O1158+P1158+Q1158+R1158-X1158</f>
        <v>150900</v>
      </c>
    </row>
    <row r="1159" spans="1:25" ht="18">
      <c r="A1159" s="298" t="s">
        <v>874</v>
      </c>
      <c r="B1159" s="293" t="s">
        <v>815</v>
      </c>
      <c r="C1159" s="298" t="s">
        <v>814</v>
      </c>
      <c r="D1159" s="291" t="s">
        <v>1012</v>
      </c>
      <c r="E1159" s="59"/>
      <c r="F1159" s="59"/>
      <c r="G1159" s="59"/>
      <c r="H1159" s="59"/>
      <c r="I1159" s="255"/>
      <c r="J1159" s="60">
        <f>SUM(J1160:J1160)</f>
        <v>180000</v>
      </c>
      <c r="K1159" s="60">
        <f aca="true" t="shared" si="156" ref="K1159:X1159">SUM(K1160:K1160)</f>
        <v>0</v>
      </c>
      <c r="L1159" s="60">
        <f t="shared" si="156"/>
        <v>0</v>
      </c>
      <c r="M1159" s="60">
        <f t="shared" si="156"/>
        <v>0</v>
      </c>
      <c r="N1159" s="60">
        <f t="shared" si="156"/>
        <v>0</v>
      </c>
      <c r="O1159" s="60">
        <f t="shared" si="156"/>
        <v>0</v>
      </c>
      <c r="P1159" s="60">
        <f t="shared" si="156"/>
        <v>180000</v>
      </c>
      <c r="Q1159" s="60">
        <f t="shared" si="156"/>
        <v>0</v>
      </c>
      <c r="R1159" s="60">
        <f t="shared" si="156"/>
        <v>0</v>
      </c>
      <c r="S1159" s="60">
        <f t="shared" si="156"/>
        <v>0</v>
      </c>
      <c r="T1159" s="60">
        <f t="shared" si="156"/>
        <v>0</v>
      </c>
      <c r="U1159" s="60">
        <f t="shared" si="156"/>
        <v>0</v>
      </c>
      <c r="V1159" s="60">
        <f t="shared" si="156"/>
        <v>0</v>
      </c>
      <c r="W1159" s="60">
        <f t="shared" si="156"/>
        <v>0</v>
      </c>
      <c r="X1159" s="60">
        <f t="shared" si="156"/>
        <v>29100</v>
      </c>
      <c r="Y1159" s="29">
        <f t="shared" si="155"/>
        <v>150900</v>
      </c>
    </row>
    <row r="1160" spans="1:25" ht="36">
      <c r="A1160" s="298"/>
      <c r="B1160" s="294"/>
      <c r="C1160" s="298"/>
      <c r="D1160" s="291"/>
      <c r="E1160" s="61" t="s">
        <v>1118</v>
      </c>
      <c r="F1160" s="61"/>
      <c r="G1160" s="61"/>
      <c r="H1160" s="61"/>
      <c r="I1160" s="234">
        <v>3110</v>
      </c>
      <c r="J1160" s="54">
        <v>180000</v>
      </c>
      <c r="K1160" s="29"/>
      <c r="L1160" s="29"/>
      <c r="M1160" s="29"/>
      <c r="N1160" s="29"/>
      <c r="O1160" s="29"/>
      <c r="P1160" s="29">
        <v>180000</v>
      </c>
      <c r="Q1160" s="29"/>
      <c r="R1160" s="29"/>
      <c r="S1160" s="29"/>
      <c r="T1160" s="29"/>
      <c r="U1160" s="29"/>
      <c r="V1160" s="29"/>
      <c r="W1160" s="29">
        <f t="shared" si="140"/>
        <v>0</v>
      </c>
      <c r="X1160" s="29">
        <f>11100+18000</f>
        <v>29100</v>
      </c>
      <c r="Y1160" s="29">
        <f t="shared" si="155"/>
        <v>150900</v>
      </c>
    </row>
    <row r="1161" spans="1:25" ht="63" customHeight="1" hidden="1">
      <c r="A1161" s="296"/>
      <c r="B1161" s="296"/>
      <c r="C1161" s="296"/>
      <c r="D1161" s="291"/>
      <c r="E1161" s="30" t="s">
        <v>390</v>
      </c>
      <c r="F1161" s="93"/>
      <c r="G1161" s="158"/>
      <c r="H1161" s="159"/>
      <c r="I1161" s="249"/>
      <c r="J1161" s="31">
        <f>SUM(J1162:J1167)</f>
        <v>0</v>
      </c>
      <c r="K1161" s="29"/>
      <c r="L1161" s="29"/>
      <c r="M1161" s="29"/>
      <c r="N1161" s="29"/>
      <c r="O1161" s="29"/>
      <c r="P1161" s="29"/>
      <c r="Q1161" s="29"/>
      <c r="R1161" s="29"/>
      <c r="S1161" s="29"/>
      <c r="T1161" s="29"/>
      <c r="U1161" s="29"/>
      <c r="V1161" s="29"/>
      <c r="W1161" s="29">
        <f t="shared" si="140"/>
        <v>0</v>
      </c>
      <c r="X1161" s="29"/>
      <c r="Y1161" s="29">
        <f t="shared" si="155"/>
        <v>0</v>
      </c>
    </row>
    <row r="1162" spans="1:25" ht="18.75" customHeight="1" hidden="1">
      <c r="A1162" s="296"/>
      <c r="B1162" s="296"/>
      <c r="C1162" s="296"/>
      <c r="D1162" s="291"/>
      <c r="E1162" s="91"/>
      <c r="F1162" s="160"/>
      <c r="G1162" s="114"/>
      <c r="H1162" s="160"/>
      <c r="I1162" s="232"/>
      <c r="J1162" s="54"/>
      <c r="K1162" s="29"/>
      <c r="L1162" s="29"/>
      <c r="M1162" s="29"/>
      <c r="N1162" s="29"/>
      <c r="O1162" s="29"/>
      <c r="P1162" s="29"/>
      <c r="Q1162" s="29"/>
      <c r="R1162" s="29"/>
      <c r="S1162" s="29"/>
      <c r="T1162" s="29"/>
      <c r="U1162" s="29"/>
      <c r="V1162" s="29"/>
      <c r="W1162" s="29">
        <f t="shared" si="140"/>
        <v>0</v>
      </c>
      <c r="X1162" s="29"/>
      <c r="Y1162" s="29">
        <f t="shared" si="155"/>
        <v>0</v>
      </c>
    </row>
    <row r="1163" spans="1:25" ht="35.25" customHeight="1" hidden="1">
      <c r="A1163" s="296"/>
      <c r="B1163" s="296"/>
      <c r="C1163" s="296"/>
      <c r="D1163" s="291"/>
      <c r="E1163" s="91"/>
      <c r="F1163" s="160"/>
      <c r="G1163" s="114"/>
      <c r="H1163" s="160"/>
      <c r="I1163" s="232"/>
      <c r="J1163" s="54"/>
      <c r="K1163" s="29"/>
      <c r="L1163" s="29"/>
      <c r="M1163" s="29"/>
      <c r="N1163" s="29"/>
      <c r="O1163" s="29"/>
      <c r="P1163" s="29"/>
      <c r="Q1163" s="29"/>
      <c r="R1163" s="29"/>
      <c r="S1163" s="29"/>
      <c r="T1163" s="29"/>
      <c r="U1163" s="29"/>
      <c r="V1163" s="29"/>
      <c r="W1163" s="29">
        <f t="shared" si="140"/>
        <v>0</v>
      </c>
      <c r="X1163" s="29"/>
      <c r="Y1163" s="29">
        <f t="shared" si="155"/>
        <v>0</v>
      </c>
    </row>
    <row r="1164" spans="1:25" ht="35.25" customHeight="1" hidden="1">
      <c r="A1164" s="296"/>
      <c r="B1164" s="296"/>
      <c r="C1164" s="296"/>
      <c r="D1164" s="291"/>
      <c r="E1164" s="91"/>
      <c r="F1164" s="160"/>
      <c r="G1164" s="114"/>
      <c r="H1164" s="160"/>
      <c r="I1164" s="232"/>
      <c r="J1164" s="54"/>
      <c r="K1164" s="29"/>
      <c r="L1164" s="29"/>
      <c r="M1164" s="29"/>
      <c r="N1164" s="29"/>
      <c r="O1164" s="29"/>
      <c r="P1164" s="29"/>
      <c r="Q1164" s="29"/>
      <c r="R1164" s="29"/>
      <c r="S1164" s="29"/>
      <c r="T1164" s="29"/>
      <c r="U1164" s="29"/>
      <c r="V1164" s="29"/>
      <c r="W1164" s="29">
        <f t="shared" si="140"/>
        <v>0</v>
      </c>
      <c r="X1164" s="29"/>
      <c r="Y1164" s="29">
        <f t="shared" si="155"/>
        <v>0</v>
      </c>
    </row>
    <row r="1165" spans="1:25" ht="39.75" customHeight="1" hidden="1">
      <c r="A1165" s="296"/>
      <c r="B1165" s="296"/>
      <c r="C1165" s="296"/>
      <c r="D1165" s="291"/>
      <c r="E1165" s="91"/>
      <c r="F1165" s="160"/>
      <c r="G1165" s="114"/>
      <c r="H1165" s="160"/>
      <c r="I1165" s="232"/>
      <c r="J1165" s="54"/>
      <c r="K1165" s="29"/>
      <c r="L1165" s="29"/>
      <c r="M1165" s="29"/>
      <c r="N1165" s="29"/>
      <c r="O1165" s="29"/>
      <c r="P1165" s="29"/>
      <c r="Q1165" s="29"/>
      <c r="R1165" s="29"/>
      <c r="S1165" s="29"/>
      <c r="T1165" s="29"/>
      <c r="U1165" s="29"/>
      <c r="V1165" s="29"/>
      <c r="W1165" s="29">
        <f t="shared" si="140"/>
        <v>0</v>
      </c>
      <c r="X1165" s="29"/>
      <c r="Y1165" s="29">
        <f t="shared" si="155"/>
        <v>0</v>
      </c>
    </row>
    <row r="1166" spans="1:25" ht="18.75" customHeight="1" hidden="1">
      <c r="A1166" s="296"/>
      <c r="B1166" s="296"/>
      <c r="C1166" s="296"/>
      <c r="D1166" s="291"/>
      <c r="E1166" s="91"/>
      <c r="F1166" s="160"/>
      <c r="G1166" s="114"/>
      <c r="H1166" s="160"/>
      <c r="I1166" s="232"/>
      <c r="J1166" s="54"/>
      <c r="K1166" s="29"/>
      <c r="L1166" s="29"/>
      <c r="M1166" s="29"/>
      <c r="N1166" s="29"/>
      <c r="O1166" s="29"/>
      <c r="P1166" s="29"/>
      <c r="Q1166" s="29"/>
      <c r="R1166" s="29"/>
      <c r="S1166" s="29"/>
      <c r="T1166" s="29"/>
      <c r="U1166" s="29"/>
      <c r="V1166" s="29"/>
      <c r="W1166" s="29">
        <f t="shared" si="140"/>
        <v>0</v>
      </c>
      <c r="X1166" s="29"/>
      <c r="Y1166" s="29">
        <f t="shared" si="155"/>
        <v>0</v>
      </c>
    </row>
    <row r="1167" spans="1:25" ht="36" customHeight="1" hidden="1">
      <c r="A1167" s="296"/>
      <c r="B1167" s="296"/>
      <c r="C1167" s="296"/>
      <c r="D1167" s="291"/>
      <c r="E1167" s="91"/>
      <c r="F1167" s="160"/>
      <c r="G1167" s="114"/>
      <c r="H1167" s="160"/>
      <c r="I1167" s="232"/>
      <c r="J1167" s="54"/>
      <c r="K1167" s="29"/>
      <c r="L1167" s="29"/>
      <c r="M1167" s="29"/>
      <c r="N1167" s="29"/>
      <c r="O1167" s="29"/>
      <c r="P1167" s="29"/>
      <c r="Q1167" s="29"/>
      <c r="R1167" s="29"/>
      <c r="S1167" s="29"/>
      <c r="T1167" s="29"/>
      <c r="U1167" s="29"/>
      <c r="V1167" s="29"/>
      <c r="W1167" s="29">
        <f t="shared" si="140"/>
        <v>0</v>
      </c>
      <c r="X1167" s="29"/>
      <c r="Y1167" s="29">
        <f t="shared" si="155"/>
        <v>0</v>
      </c>
    </row>
    <row r="1168" spans="1:25" ht="63" customHeight="1" hidden="1">
      <c r="A1168" s="296"/>
      <c r="B1168" s="296"/>
      <c r="C1168" s="296"/>
      <c r="D1168" s="291"/>
      <c r="E1168" s="30" t="s">
        <v>391</v>
      </c>
      <c r="F1168" s="93"/>
      <c r="G1168" s="158"/>
      <c r="H1168" s="159"/>
      <c r="I1168" s="249"/>
      <c r="J1168" s="31">
        <v>0</v>
      </c>
      <c r="K1168" s="29"/>
      <c r="L1168" s="29"/>
      <c r="M1168" s="29"/>
      <c r="N1168" s="29"/>
      <c r="O1168" s="29"/>
      <c r="P1168" s="29"/>
      <c r="Q1168" s="29"/>
      <c r="R1168" s="29"/>
      <c r="S1168" s="29"/>
      <c r="T1168" s="29"/>
      <c r="U1168" s="29"/>
      <c r="V1168" s="29"/>
      <c r="W1168" s="29">
        <f aca="true" t="shared" si="157" ref="W1168:W1181">J1168-K1168-L1168-M1168-N1168-O1168-P1168-Q1168-R1168-S1168-T1168-U1168-V1168</f>
        <v>0</v>
      </c>
      <c r="X1168" s="29"/>
      <c r="Y1168" s="29">
        <f t="shared" si="155"/>
        <v>0</v>
      </c>
    </row>
    <row r="1169" spans="1:25" ht="34.5" hidden="1">
      <c r="A1169" s="96" t="s">
        <v>278</v>
      </c>
      <c r="B1169" s="96"/>
      <c r="C1169" s="96"/>
      <c r="D1169" s="161" t="s">
        <v>392</v>
      </c>
      <c r="E1169" s="98"/>
      <c r="F1169" s="155"/>
      <c r="G1169" s="156"/>
      <c r="H1169" s="157"/>
      <c r="I1169" s="248"/>
      <c r="J1169" s="70">
        <f>J1170+J1172</f>
        <v>0</v>
      </c>
      <c r="K1169" s="29"/>
      <c r="L1169" s="29"/>
      <c r="M1169" s="29"/>
      <c r="N1169" s="29"/>
      <c r="O1169" s="29"/>
      <c r="P1169" s="29"/>
      <c r="Q1169" s="29"/>
      <c r="R1169" s="29"/>
      <c r="S1169" s="29"/>
      <c r="T1169" s="29"/>
      <c r="U1169" s="29"/>
      <c r="V1169" s="29"/>
      <c r="W1169" s="29">
        <f t="shared" si="157"/>
        <v>0</v>
      </c>
      <c r="X1169" s="29"/>
      <c r="Y1169" s="29">
        <f t="shared" si="155"/>
        <v>0</v>
      </c>
    </row>
    <row r="1170" spans="1:25" ht="34.5" hidden="1">
      <c r="A1170" s="96" t="s">
        <v>279</v>
      </c>
      <c r="B1170" s="96"/>
      <c r="C1170" s="96"/>
      <c r="D1170" s="161" t="s">
        <v>392</v>
      </c>
      <c r="E1170" s="98"/>
      <c r="F1170" s="155"/>
      <c r="G1170" s="156"/>
      <c r="H1170" s="157"/>
      <c r="I1170" s="248"/>
      <c r="J1170" s="70">
        <f>J1171+J1173</f>
        <v>0</v>
      </c>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9"/>
      <c r="B1171" s="9"/>
      <c r="C1171" s="298" t="s">
        <v>814</v>
      </c>
      <c r="D1171" s="45"/>
      <c r="E1171" s="59"/>
      <c r="F1171" s="93"/>
      <c r="G1171" s="158"/>
      <c r="H1171" s="159"/>
      <c r="I1171" s="249"/>
      <c r="J1171" s="60">
        <f>SUM(J1172:J1172)</f>
        <v>0</v>
      </c>
      <c r="K1171" s="29"/>
      <c r="L1171" s="29"/>
      <c r="M1171" s="29"/>
      <c r="N1171" s="29"/>
      <c r="O1171" s="29"/>
      <c r="P1171" s="29"/>
      <c r="Q1171" s="29"/>
      <c r="R1171" s="29"/>
      <c r="S1171" s="29"/>
      <c r="T1171" s="29"/>
      <c r="U1171" s="29"/>
      <c r="V1171" s="29"/>
      <c r="W1171" s="29">
        <f t="shared" si="157"/>
        <v>0</v>
      </c>
      <c r="X1171" s="29"/>
      <c r="Y1171" s="29">
        <f t="shared" si="155"/>
        <v>0</v>
      </c>
    </row>
    <row r="1172" spans="1:25" ht="31.5" customHeight="1" hidden="1">
      <c r="A1172" s="9"/>
      <c r="B1172" s="9"/>
      <c r="C1172" s="298"/>
      <c r="D1172" s="45"/>
      <c r="E1172" s="61" t="s">
        <v>1118</v>
      </c>
      <c r="F1172" s="93"/>
      <c r="G1172" s="158"/>
      <c r="H1172" s="159"/>
      <c r="I1172" s="249"/>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75" customHeight="1" hidden="1">
      <c r="A1173" s="298" t="s">
        <v>1119</v>
      </c>
      <c r="B1173" s="298" t="s">
        <v>1120</v>
      </c>
      <c r="C1173" s="298" t="s">
        <v>816</v>
      </c>
      <c r="D1173" s="291" t="s">
        <v>817</v>
      </c>
      <c r="E1173" s="61"/>
      <c r="F1173" s="93"/>
      <c r="G1173" s="158"/>
      <c r="H1173" s="159"/>
      <c r="I1173" s="249"/>
      <c r="J1173" s="60">
        <f>J1174</f>
        <v>0</v>
      </c>
      <c r="K1173" s="29"/>
      <c r="L1173" s="29"/>
      <c r="M1173" s="29"/>
      <c r="N1173" s="29"/>
      <c r="O1173" s="29"/>
      <c r="P1173" s="29"/>
      <c r="Q1173" s="29"/>
      <c r="R1173" s="29"/>
      <c r="S1173" s="29"/>
      <c r="T1173" s="29"/>
      <c r="U1173" s="29"/>
      <c r="V1173" s="29"/>
      <c r="W1173" s="29">
        <f t="shared" si="157"/>
        <v>0</v>
      </c>
      <c r="X1173" s="29"/>
      <c r="Y1173" s="29">
        <f t="shared" si="155"/>
        <v>0</v>
      </c>
    </row>
    <row r="1174" spans="1:25" ht="47.25" customHeight="1" hidden="1">
      <c r="A1174" s="298"/>
      <c r="B1174" s="298"/>
      <c r="C1174" s="298"/>
      <c r="D1174" s="291"/>
      <c r="E1174" s="192" t="s">
        <v>1144</v>
      </c>
      <c r="F1174" s="93"/>
      <c r="G1174" s="158"/>
      <c r="H1174" s="159"/>
      <c r="I1174" s="249"/>
      <c r="J1174" s="54"/>
      <c r="K1174" s="29"/>
      <c r="L1174" s="29"/>
      <c r="M1174" s="29"/>
      <c r="N1174" s="29"/>
      <c r="O1174" s="29"/>
      <c r="P1174" s="29"/>
      <c r="Q1174" s="29"/>
      <c r="R1174" s="29"/>
      <c r="S1174" s="29"/>
      <c r="T1174" s="29"/>
      <c r="U1174" s="29"/>
      <c r="V1174" s="29"/>
      <c r="W1174" s="29">
        <f t="shared" si="157"/>
        <v>0</v>
      </c>
      <c r="X1174" s="29"/>
      <c r="Y1174" s="29">
        <f t="shared" si="155"/>
        <v>0</v>
      </c>
    </row>
    <row r="1175" spans="1:25" ht="18" hidden="1">
      <c r="A1175" s="84"/>
      <c r="B1175" s="84"/>
      <c r="C1175" s="96"/>
      <c r="D1175" s="96"/>
      <c r="E1175" s="98"/>
      <c r="F1175" s="155"/>
      <c r="G1175" s="156"/>
      <c r="H1175" s="157"/>
      <c r="I1175" s="248"/>
      <c r="J1175" s="70">
        <f>J1176+J1178+J1180</f>
        <v>0</v>
      </c>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293" t="s">
        <v>815</v>
      </c>
      <c r="D1176" s="48"/>
      <c r="E1176" s="59"/>
      <c r="F1176" s="93"/>
      <c r="G1176" s="158"/>
      <c r="H1176" s="159"/>
      <c r="I1176" s="249"/>
      <c r="J1176" s="60">
        <f>SUM(J1177:J1177)</f>
        <v>0</v>
      </c>
      <c r="K1176" s="29"/>
      <c r="L1176" s="29"/>
      <c r="M1176" s="29"/>
      <c r="N1176" s="29"/>
      <c r="O1176" s="29"/>
      <c r="P1176" s="29"/>
      <c r="Q1176" s="29"/>
      <c r="R1176" s="29"/>
      <c r="S1176" s="29"/>
      <c r="T1176" s="29"/>
      <c r="U1176" s="29"/>
      <c r="V1176" s="29"/>
      <c r="W1176" s="29">
        <f t="shared" si="157"/>
        <v>0</v>
      </c>
      <c r="X1176" s="29"/>
      <c r="Y1176" s="29">
        <f t="shared" si="155"/>
        <v>0</v>
      </c>
    </row>
    <row r="1177" spans="1:25" ht="18.75" customHeight="1" hidden="1">
      <c r="A1177" s="123"/>
      <c r="B1177" s="123"/>
      <c r="C1177" s="299"/>
      <c r="D1177" s="49"/>
      <c r="E1177" s="61"/>
      <c r="F1177" s="93"/>
      <c r="G1177" s="158"/>
      <c r="H1177" s="159"/>
      <c r="I1177" s="249"/>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293" t="s">
        <v>815</v>
      </c>
      <c r="D1178" s="48"/>
      <c r="E1178" s="59"/>
      <c r="F1178" s="93"/>
      <c r="G1178" s="158"/>
      <c r="H1178" s="159"/>
      <c r="I1178" s="249"/>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63" customHeight="1" hidden="1">
      <c r="A1179" s="124"/>
      <c r="B1179" s="124"/>
      <c r="C1179" s="294"/>
      <c r="D1179" s="51"/>
      <c r="E1179" s="59" t="s">
        <v>379</v>
      </c>
      <c r="F1179" s="93"/>
      <c r="G1179" s="158"/>
      <c r="H1179" s="159"/>
      <c r="I1179" s="249"/>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75" customHeight="1" hidden="1">
      <c r="A1180" s="64"/>
      <c r="B1180" s="64"/>
      <c r="C1180" s="293" t="s">
        <v>815</v>
      </c>
      <c r="D1180" s="48"/>
      <c r="E1180" s="59"/>
      <c r="F1180" s="93"/>
      <c r="G1180" s="158"/>
      <c r="H1180" s="159"/>
      <c r="I1180" s="249"/>
      <c r="J1180" s="60">
        <f>J1181</f>
        <v>0</v>
      </c>
      <c r="K1180" s="29"/>
      <c r="L1180" s="29"/>
      <c r="M1180" s="29"/>
      <c r="N1180" s="29"/>
      <c r="O1180" s="29"/>
      <c r="P1180" s="29"/>
      <c r="Q1180" s="29"/>
      <c r="R1180" s="29"/>
      <c r="S1180" s="29"/>
      <c r="T1180" s="29"/>
      <c r="U1180" s="29"/>
      <c r="V1180" s="29"/>
      <c r="W1180" s="29">
        <f t="shared" si="157"/>
        <v>0</v>
      </c>
      <c r="X1180" s="29"/>
      <c r="Y1180" s="29">
        <f t="shared" si="155"/>
        <v>0</v>
      </c>
    </row>
    <row r="1181" spans="1:25" ht="18.75" customHeight="1" hidden="1">
      <c r="A1181" s="123"/>
      <c r="B1181" s="123"/>
      <c r="C1181" s="299"/>
      <c r="D1181" s="49"/>
      <c r="E1181" s="61"/>
      <c r="F1181" s="93"/>
      <c r="G1181" s="158"/>
      <c r="H1181" s="159"/>
      <c r="I1181" s="249"/>
      <c r="J1181" s="54"/>
      <c r="K1181" s="29"/>
      <c r="L1181" s="29"/>
      <c r="M1181" s="29"/>
      <c r="N1181" s="29"/>
      <c r="O1181" s="29"/>
      <c r="P1181" s="29"/>
      <c r="Q1181" s="29"/>
      <c r="R1181" s="29"/>
      <c r="S1181" s="29"/>
      <c r="T1181" s="29"/>
      <c r="U1181" s="29"/>
      <c r="V1181" s="29"/>
      <c r="W1181" s="29">
        <f t="shared" si="157"/>
        <v>0</v>
      </c>
      <c r="X1181" s="29"/>
      <c r="Y1181" s="29">
        <f t="shared" si="155"/>
        <v>0</v>
      </c>
    </row>
    <row r="1182" spans="1:25" ht="18">
      <c r="A1182" s="302" t="s">
        <v>445</v>
      </c>
      <c r="B1182" s="303"/>
      <c r="C1182" s="303"/>
      <c r="D1182" s="303"/>
      <c r="E1182" s="304"/>
      <c r="F1182" s="35"/>
      <c r="G1182" s="162"/>
      <c r="H1182" s="163"/>
      <c r="I1182" s="250"/>
      <c r="J1182" s="35">
        <f aca="true" t="shared" si="158" ref="J1182:X1182">J5+J38+J44+J385+J426+J458+J462+J1018+J1124+J1157</f>
        <v>682495999.31</v>
      </c>
      <c r="K1182" s="35">
        <f t="shared" si="158"/>
        <v>1250000</v>
      </c>
      <c r="L1182" s="35">
        <f t="shared" si="158"/>
        <v>12280515</v>
      </c>
      <c r="M1182" s="35">
        <f t="shared" si="158"/>
        <v>88916091.66</v>
      </c>
      <c r="N1182" s="35">
        <f t="shared" si="158"/>
        <v>55651294.6</v>
      </c>
      <c r="O1182" s="35">
        <f t="shared" si="158"/>
        <v>27892416.3</v>
      </c>
      <c r="P1182" s="35">
        <f t="shared" si="158"/>
        <v>27607091.37</v>
      </c>
      <c r="Q1182" s="35">
        <f t="shared" si="158"/>
        <v>76483114.00999999</v>
      </c>
      <c r="R1182" s="35">
        <f t="shared" si="158"/>
        <v>79950220.81</v>
      </c>
      <c r="S1182" s="35">
        <f t="shared" si="158"/>
        <v>47090226.15</v>
      </c>
      <c r="T1182" s="35">
        <f t="shared" si="158"/>
        <v>61627399.8</v>
      </c>
      <c r="U1182" s="35">
        <f t="shared" si="158"/>
        <v>96757902.77000001</v>
      </c>
      <c r="V1182" s="35">
        <f t="shared" si="158"/>
        <v>106989726.84</v>
      </c>
      <c r="W1182" s="35">
        <f t="shared" si="158"/>
        <v>-1.3174599189369474E-09</v>
      </c>
      <c r="X1182" s="35">
        <f t="shared" si="158"/>
        <v>231687392.70000002</v>
      </c>
      <c r="Y1182" s="29">
        <f t="shared" si="155"/>
        <v>138343351.04999998</v>
      </c>
    </row>
    <row r="1184" spans="10:22" ht="21">
      <c r="J1184" s="165" t="e">
        <f>#REF!+#REF!-#REF!</f>
        <v>#REF!</v>
      </c>
      <c r="K1184" s="197"/>
      <c r="L1184" s="197"/>
      <c r="M1184" s="197"/>
      <c r="N1184" s="197"/>
      <c r="O1184" s="197"/>
      <c r="P1184" s="197"/>
      <c r="Q1184" s="197"/>
      <c r="R1184" s="197"/>
      <c r="S1184" s="197"/>
      <c r="T1184" s="197"/>
      <c r="U1184" s="197"/>
      <c r="V1184" s="197"/>
    </row>
  </sheetData>
  <sheetProtection/>
  <mergeCells count="282">
    <mergeCell ref="B122:B204"/>
    <mergeCell ref="A40:A43"/>
    <mergeCell ref="A213:A214"/>
    <mergeCell ref="A215:A216"/>
    <mergeCell ref="D40:D43"/>
    <mergeCell ref="C207:C212"/>
    <mergeCell ref="B205:B206"/>
    <mergeCell ref="B207:B212"/>
    <mergeCell ref="D1141:D1156"/>
    <mergeCell ref="C1141:C1156"/>
    <mergeCell ref="C246:C247"/>
    <mergeCell ref="C256:C259"/>
    <mergeCell ref="D246:D247"/>
    <mergeCell ref="D379:D384"/>
    <mergeCell ref="C387:C388"/>
    <mergeCell ref="D415:D417"/>
    <mergeCell ref="D420:D423"/>
    <mergeCell ref="C379:C384"/>
    <mergeCell ref="E1046:E1047"/>
    <mergeCell ref="I1046:I1047"/>
    <mergeCell ref="C321:C368"/>
    <mergeCell ref="C260:C320"/>
    <mergeCell ref="C919:C920"/>
    <mergeCell ref="C598:C727"/>
    <mergeCell ref="C369:C378"/>
    <mergeCell ref="D260:D320"/>
    <mergeCell ref="D598:D727"/>
    <mergeCell ref="A2:Y2"/>
    <mergeCell ref="A122:A204"/>
    <mergeCell ref="C122:C204"/>
    <mergeCell ref="D122:D204"/>
    <mergeCell ref="B46:B120"/>
    <mergeCell ref="C46:C120"/>
    <mergeCell ref="A46:A121"/>
    <mergeCell ref="D31:D33"/>
    <mergeCell ref="B248:B255"/>
    <mergeCell ref="A205:A206"/>
    <mergeCell ref="D205:D206"/>
    <mergeCell ref="D207:D212"/>
    <mergeCell ref="D213:D214"/>
    <mergeCell ref="C205:C206"/>
    <mergeCell ref="A207:A212"/>
    <mergeCell ref="C213:C214"/>
    <mergeCell ref="D215:D216"/>
    <mergeCell ref="D217:D218"/>
    <mergeCell ref="C236:C245"/>
    <mergeCell ref="A227:A229"/>
    <mergeCell ref="C248:C255"/>
    <mergeCell ref="A217:A218"/>
    <mergeCell ref="A219:A221"/>
    <mergeCell ref="B224:B226"/>
    <mergeCell ref="C217:C218"/>
    <mergeCell ref="A224:A226"/>
    <mergeCell ref="C224:C226"/>
    <mergeCell ref="A222:A223"/>
    <mergeCell ref="A248:A255"/>
    <mergeCell ref="A230:A232"/>
    <mergeCell ref="A236:A245"/>
    <mergeCell ref="A246:A247"/>
    <mergeCell ref="A233:A234"/>
    <mergeCell ref="C215:C216"/>
    <mergeCell ref="B236:B245"/>
    <mergeCell ref="B233:B234"/>
    <mergeCell ref="C233:C234"/>
    <mergeCell ref="C230:C232"/>
    <mergeCell ref="D230:D232"/>
    <mergeCell ref="D219:D221"/>
    <mergeCell ref="D236:D245"/>
    <mergeCell ref="D224:D226"/>
    <mergeCell ref="D233:D234"/>
    <mergeCell ref="D227:D229"/>
    <mergeCell ref="B389:B403"/>
    <mergeCell ref="C415:C417"/>
    <mergeCell ref="D418:D419"/>
    <mergeCell ref="C404:C407"/>
    <mergeCell ref="D404:D407"/>
    <mergeCell ref="B408:B414"/>
    <mergeCell ref="D439:D440"/>
    <mergeCell ref="C389:C403"/>
    <mergeCell ref="C408:C414"/>
    <mergeCell ref="D389:D403"/>
    <mergeCell ref="D424:D425"/>
    <mergeCell ref="C424:C425"/>
    <mergeCell ref="D460:D461"/>
    <mergeCell ref="B522:B523"/>
    <mergeCell ref="B460:B461"/>
    <mergeCell ref="C522:C523"/>
    <mergeCell ref="C460:C461"/>
    <mergeCell ref="D441:D456"/>
    <mergeCell ref="D595:D597"/>
    <mergeCell ref="D524:D594"/>
    <mergeCell ref="D464:D521"/>
    <mergeCell ref="D917:D918"/>
    <mergeCell ref="D728:D916"/>
    <mergeCell ref="D522:D523"/>
    <mergeCell ref="D919:D920"/>
    <mergeCell ref="C955:C960"/>
    <mergeCell ref="C979:C984"/>
    <mergeCell ref="C938:C940"/>
    <mergeCell ref="C966:C967"/>
    <mergeCell ref="C968:C969"/>
    <mergeCell ref="C943:C945"/>
    <mergeCell ref="C970:C974"/>
    <mergeCell ref="C932:C937"/>
    <mergeCell ref="C926:C931"/>
    <mergeCell ref="C917:C918"/>
    <mergeCell ref="C947:C948"/>
    <mergeCell ref="C950:C954"/>
    <mergeCell ref="C1180:C1181"/>
    <mergeCell ref="C1171:C1172"/>
    <mergeCell ref="C1173:C1174"/>
    <mergeCell ref="C1178:C1179"/>
    <mergeCell ref="C1176:C1177"/>
    <mergeCell ref="C961:C965"/>
    <mergeCell ref="C941:C942"/>
    <mergeCell ref="A260:A320"/>
    <mergeCell ref="A321:A368"/>
    <mergeCell ref="A369:A378"/>
    <mergeCell ref="B387:B388"/>
    <mergeCell ref="A379:A384"/>
    <mergeCell ref="A387:A388"/>
    <mergeCell ref="B260:B320"/>
    <mergeCell ref="B321:B368"/>
    <mergeCell ref="B379:B384"/>
    <mergeCell ref="A1173:A1174"/>
    <mergeCell ref="D1161:D1168"/>
    <mergeCell ref="C1161:C1168"/>
    <mergeCell ref="C1159:C1160"/>
    <mergeCell ref="D1159:D1160"/>
    <mergeCell ref="B1161:B1168"/>
    <mergeCell ref="A1161:A1168"/>
    <mergeCell ref="B1159:B1160"/>
    <mergeCell ref="D1173:D1174"/>
    <mergeCell ref="B1173:B1174"/>
    <mergeCell ref="D1133:D1140"/>
    <mergeCell ref="B1133:B1140"/>
    <mergeCell ref="D1126:D1130"/>
    <mergeCell ref="C1131:C1132"/>
    <mergeCell ref="D1131:D1132"/>
    <mergeCell ref="C1126:C1130"/>
    <mergeCell ref="A1033:A1037"/>
    <mergeCell ref="A1038:A1041"/>
    <mergeCell ref="C1033:C1037"/>
    <mergeCell ref="A1133:A1140"/>
    <mergeCell ref="C1133:C1140"/>
    <mergeCell ref="C1105:C1106"/>
    <mergeCell ref="A1107:A1123"/>
    <mergeCell ref="B1107:B1123"/>
    <mergeCell ref="C1107:C1123"/>
    <mergeCell ref="A1131:A1132"/>
    <mergeCell ref="C1064:C1065"/>
    <mergeCell ref="D1038:D1041"/>
    <mergeCell ref="C1042:C1060"/>
    <mergeCell ref="D1042:D1060"/>
    <mergeCell ref="C1061:C1063"/>
    <mergeCell ref="D1061:D1063"/>
    <mergeCell ref="C1038:C1041"/>
    <mergeCell ref="D1031:D1032"/>
    <mergeCell ref="A1102:A1104"/>
    <mergeCell ref="C1031:C1032"/>
    <mergeCell ref="A1031:A1032"/>
    <mergeCell ref="D1033:D1037"/>
    <mergeCell ref="C1066:C1101"/>
    <mergeCell ref="A1061:A1063"/>
    <mergeCell ref="B1061:B1063"/>
    <mergeCell ref="D1064:D1065"/>
    <mergeCell ref="D1066:D1101"/>
    <mergeCell ref="C975:C978"/>
    <mergeCell ref="C990:C995"/>
    <mergeCell ref="C985:C987"/>
    <mergeCell ref="C997:C1017"/>
    <mergeCell ref="C988:C989"/>
    <mergeCell ref="B1020:B1023"/>
    <mergeCell ref="D1029:D1030"/>
    <mergeCell ref="C1029:C1030"/>
    <mergeCell ref="D1024:D1028"/>
    <mergeCell ref="C1020:C1023"/>
    <mergeCell ref="D1020:D1023"/>
    <mergeCell ref="A1029:A1030"/>
    <mergeCell ref="A1020:A1023"/>
    <mergeCell ref="C1024:C1028"/>
    <mergeCell ref="B1024:B1028"/>
    <mergeCell ref="A1024:A1028"/>
    <mergeCell ref="A919:A920"/>
    <mergeCell ref="B524:B594"/>
    <mergeCell ref="A524:A594"/>
    <mergeCell ref="A598:A727"/>
    <mergeCell ref="A728:A916"/>
    <mergeCell ref="A917:A918"/>
    <mergeCell ref="B919:B920"/>
    <mergeCell ref="B917:B918"/>
    <mergeCell ref="B595:B597"/>
    <mergeCell ref="A408:A414"/>
    <mergeCell ref="B404:B407"/>
    <mergeCell ref="A420:A423"/>
    <mergeCell ref="A428:A435"/>
    <mergeCell ref="A404:A407"/>
    <mergeCell ref="B420:B423"/>
    <mergeCell ref="B424:B425"/>
    <mergeCell ref="A424:A425"/>
    <mergeCell ref="A415:A417"/>
    <mergeCell ref="B415:B417"/>
    <mergeCell ref="A436:A438"/>
    <mergeCell ref="A441:A456"/>
    <mergeCell ref="A460:A461"/>
    <mergeCell ref="A595:A597"/>
    <mergeCell ref="A439:A440"/>
    <mergeCell ref="A464:A521"/>
    <mergeCell ref="A522:A523"/>
    <mergeCell ref="B439:B440"/>
    <mergeCell ref="B436:B438"/>
    <mergeCell ref="C34:C37"/>
    <mergeCell ref="C921:C925"/>
    <mergeCell ref="C428:C435"/>
    <mergeCell ref="C595:C597"/>
    <mergeCell ref="C728:C916"/>
    <mergeCell ref="B598:B727"/>
    <mergeCell ref="C441:C456"/>
    <mergeCell ref="B428:B435"/>
    <mergeCell ref="B441:B456"/>
    <mergeCell ref="A25:A26"/>
    <mergeCell ref="A7:A24"/>
    <mergeCell ref="D25:D26"/>
    <mergeCell ref="A256:A259"/>
    <mergeCell ref="D46:D121"/>
    <mergeCell ref="D222:D223"/>
    <mergeCell ref="C219:C221"/>
    <mergeCell ref="C222:C223"/>
    <mergeCell ref="B256:B257"/>
    <mergeCell ref="C7:C24"/>
    <mergeCell ref="D7:D24"/>
    <mergeCell ref="B7:B24"/>
    <mergeCell ref="B40:B43"/>
    <mergeCell ref="A389:A403"/>
    <mergeCell ref="D321:D368"/>
    <mergeCell ref="B728:B916"/>
    <mergeCell ref="D369:D378"/>
    <mergeCell ref="C420:C423"/>
    <mergeCell ref="D387:D388"/>
    <mergeCell ref="B464:B521"/>
    <mergeCell ref="A418:A419"/>
    <mergeCell ref="D408:D414"/>
    <mergeCell ref="B369:B378"/>
    <mergeCell ref="D1105:D1106"/>
    <mergeCell ref="B1131:B1132"/>
    <mergeCell ref="A1182:E1182"/>
    <mergeCell ref="C1102:C1104"/>
    <mergeCell ref="D1102:D1104"/>
    <mergeCell ref="D1107:D1123"/>
    <mergeCell ref="B1141:B1156"/>
    <mergeCell ref="B1126:B1130"/>
    <mergeCell ref="A1126:A1130"/>
    <mergeCell ref="A1105:A1106"/>
    <mergeCell ref="A1042:A1060"/>
    <mergeCell ref="A1064:A1065"/>
    <mergeCell ref="A1141:A1156"/>
    <mergeCell ref="A1066:A1101"/>
    <mergeCell ref="B1042:B1060"/>
    <mergeCell ref="A1159:A1160"/>
    <mergeCell ref="B1064:B1065"/>
    <mergeCell ref="B1102:B1104"/>
    <mergeCell ref="B1066:B1101"/>
    <mergeCell ref="C524:C594"/>
    <mergeCell ref="C40:C43"/>
    <mergeCell ref="D256:D259"/>
    <mergeCell ref="D428:D435"/>
    <mergeCell ref="D248:D255"/>
    <mergeCell ref="C227:C229"/>
    <mergeCell ref="C439:C440"/>
    <mergeCell ref="D436:D438"/>
    <mergeCell ref="C436:C438"/>
    <mergeCell ref="C464:C521"/>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2017-08-08T13:59:20Z</dcterms:modified>
  <cp:category/>
  <cp:version/>
  <cp:contentType/>
  <cp:contentStatus/>
</cp:coreProperties>
</file>